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lazs\Downloads\"/>
    </mc:Choice>
  </mc:AlternateContent>
  <xr:revisionPtr revIDLastSave="0" documentId="13_ncr:1_{2E103206-C4B0-4312-AC92-0223E864AE8F}" xr6:coauthVersionLast="46" xr6:coauthVersionMax="46" xr10:uidLastSave="{00000000-0000-0000-0000-000000000000}"/>
  <workbookProtection workbookAlgorithmName="SHA-512" workbookHashValue="ZJltLgFnvcwUM5kXQiugX8daUYBROLRz2nCFNFYZvFBGKfZUGSmzCHnhKKSicsgXFJ70xFlIMURVT9zqvr8kGw==" workbookSaltValue="wgFc8jbfiQGleoUCRnU5aw==" workbookSpinCount="100000" lockStructure="1"/>
  <bookViews>
    <workbookView xWindow="2364" yWindow="372" windowWidth="22812" windowHeight="119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?from_USD_amount_1" localSheetId="2">Sheet3!$A$3:$C$175</definedName>
    <definedName name="Program">Sheet2!$B$2:$B$5</definedName>
  </definedNames>
  <calcPr calcId="191029"/>
  <customWorkbookViews>
    <customWorkbookView name="Clean view" guid="{6840547F-AFCF-4FC0-8990-CE6E2E0107D1}" includePrintSettings="0" includeHiddenRowCol="0" xWindow="-1885" yWindow="66" windowWidth="1806" windowHeight="96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B19" i="1"/>
  <c r="C19" i="1" s="1"/>
  <c r="B16" i="1"/>
  <c r="B15" i="1"/>
  <c r="C6" i="1"/>
  <c r="C3" i="1"/>
  <c r="C4" i="1"/>
  <c r="C2" i="1"/>
  <c r="G39" i="3"/>
  <c r="G38" i="3"/>
  <c r="G37" i="3"/>
  <c r="G36" i="3"/>
  <c r="G35" i="3"/>
  <c r="G34" i="3"/>
  <c r="G33" i="3"/>
  <c r="G32" i="3"/>
  <c r="G31" i="3"/>
  <c r="G30" i="3"/>
  <c r="D12" i="1"/>
  <c r="C11" i="2"/>
  <c r="C10" i="2"/>
  <c r="Z4" i="2"/>
  <c r="Z3" i="2"/>
  <c r="Z2" i="2"/>
  <c r="Y4" i="2"/>
  <c r="Y3" i="2"/>
  <c r="X2" i="2"/>
  <c r="W2" i="2" s="1"/>
  <c r="X3" i="2"/>
  <c r="S4" i="2"/>
  <c r="Q4" i="2"/>
  <c r="S3" i="2"/>
  <c r="Q3" i="2"/>
  <c r="C27" i="1"/>
  <c r="C26" i="1"/>
  <c r="V2" i="2" l="1"/>
  <c r="A13" i="1"/>
  <c r="C13" i="1" l="1"/>
  <c r="B12" i="1"/>
  <c r="B7" i="1"/>
  <c r="C12" i="1"/>
  <c r="B9" i="1"/>
  <c r="C9" i="1" s="1"/>
  <c r="B8" i="1"/>
  <c r="C8" i="1" s="1"/>
  <c r="B27" i="1"/>
  <c r="B26" i="1"/>
  <c r="B10" i="1"/>
  <c r="B25" i="1"/>
  <c r="B24" i="1"/>
  <c r="B23" i="1"/>
  <c r="B21" i="1"/>
  <c r="B20" i="1"/>
  <c r="B18" i="1"/>
  <c r="B17" i="1"/>
  <c r="A26" i="1"/>
  <c r="C17" i="1"/>
  <c r="B11" i="1" l="1"/>
  <c r="C18" i="1"/>
  <c r="C21" i="1"/>
  <c r="C20" i="1"/>
  <c r="B22" i="1"/>
  <c r="R3" i="2"/>
  <c r="T3" i="2"/>
  <c r="R4" i="2"/>
  <c r="T4" i="2"/>
  <c r="T2" i="2"/>
  <c r="R2" i="2"/>
  <c r="U4" i="2" l="1"/>
  <c r="U2" i="2"/>
  <c r="AA2" i="2" s="1"/>
  <c r="U3" i="2"/>
  <c r="X4" i="2"/>
  <c r="V4" i="2" s="1"/>
  <c r="V3" i="2"/>
  <c r="B28" i="1" l="1"/>
  <c r="C30" i="1" s="1"/>
  <c r="A2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background="1" refreshOnLoad="1" saveData="1">
    <webPr sourceData="1" parsePre="1" consecutive="1" xl2000="1" url="https://www.x-rates.com/table/?from=USD&amp;amount=1"/>
  </connection>
</connections>
</file>

<file path=xl/sharedStrings.xml><?xml version="1.0" encoding="utf-8"?>
<sst xmlns="http://schemas.openxmlformats.org/spreadsheetml/2006/main" count="270" uniqueCount="182">
  <si>
    <t>Average semester expenses at UAF</t>
  </si>
  <si>
    <t>Tuition</t>
  </si>
  <si>
    <t>Tuition and Fees</t>
  </si>
  <si>
    <t>What program are you participating in?</t>
  </si>
  <si>
    <t>Study Abroad with Provider (AIFS, API, GEO, IFSA, ISA, KEI, Semester at Sea)</t>
  </si>
  <si>
    <t>Program</t>
  </si>
  <si>
    <t>Housing</t>
  </si>
  <si>
    <t>Meal Plan or Groceries</t>
  </si>
  <si>
    <t>Program Provider fees</t>
  </si>
  <si>
    <t>n/a</t>
  </si>
  <si>
    <t>Meals</t>
  </si>
  <si>
    <t>Personal Travel</t>
  </si>
  <si>
    <t>Books</t>
  </si>
  <si>
    <t>Local Transport (city bus, subway)</t>
  </si>
  <si>
    <t>Insurance req'd by UAF</t>
  </si>
  <si>
    <t>Misc</t>
  </si>
  <si>
    <t>Tuition/Fees Paid to UAF</t>
  </si>
  <si>
    <t>Program Provider Fee</t>
  </si>
  <si>
    <t>Housing Cost</t>
  </si>
  <si>
    <t>Travel to Host Location</t>
  </si>
  <si>
    <t>Personal Travel to Nearby Areas</t>
  </si>
  <si>
    <t>Local Transport Costs</t>
  </si>
  <si>
    <t>Misc Costs</t>
  </si>
  <si>
    <t>Costs for time away</t>
  </si>
  <si>
    <t>Included</t>
  </si>
  <si>
    <t>Travel to Host</t>
  </si>
  <si>
    <t>What rate of tuition do you pay to UAF?</t>
  </si>
  <si>
    <t>Resident</t>
  </si>
  <si>
    <t>Non-Resident</t>
  </si>
  <si>
    <t>WUE</t>
  </si>
  <si>
    <t>WUE or Non-resident Tuition Surcharge</t>
  </si>
  <si>
    <t>7 cr</t>
  </si>
  <si>
    <t>8 cr</t>
  </si>
  <si>
    <t>Fees ISE</t>
  </si>
  <si>
    <t>Fees NSE</t>
  </si>
  <si>
    <t>% based on tuition</t>
  </si>
  <si>
    <t>lower</t>
  </si>
  <si>
    <t>upper</t>
  </si>
  <si>
    <t>NRT</t>
  </si>
  <si>
    <t>sum tuition</t>
  </si>
  <si>
    <t>If staying at UAF</t>
  </si>
  <si>
    <t>Term of Study</t>
  </si>
  <si>
    <t>Fall</t>
  </si>
  <si>
    <t>Spring</t>
  </si>
  <si>
    <t>Academic Year</t>
  </si>
  <si>
    <t>Calendar Year</t>
  </si>
  <si>
    <t>Summer, 1 month</t>
  </si>
  <si>
    <t>Summer, 2 months</t>
  </si>
  <si>
    <t>Summer, 3 months</t>
  </si>
  <si>
    <t>how much will you spend per month?--&gt;</t>
  </si>
  <si>
    <t>Travel Insurance Required by UAF</t>
  </si>
  <si>
    <t>Canada</t>
  </si>
  <si>
    <t>Yes</t>
  </si>
  <si>
    <t>No</t>
  </si>
  <si>
    <t>Total Program Costs</t>
  </si>
  <si>
    <t>Do you live on campus at UAF?</t>
  </si>
  <si>
    <t>Meal plan charge</t>
  </si>
  <si>
    <t># mo</t>
  </si>
  <si>
    <t># sem</t>
  </si>
  <si>
    <t>Tuition/Fees to Host</t>
  </si>
  <si>
    <t>Host Tuition/Fees</t>
  </si>
  <si>
    <t>n/a - Paid to UAF</t>
  </si>
  <si>
    <t>Not Required</t>
  </si>
  <si>
    <t>estimated roundtrip flight--&gt;</t>
  </si>
  <si>
    <t>Typically Included; if not included, add estimated cost to "Misc"</t>
  </si>
  <si>
    <t>Typical Cost for UAF</t>
  </si>
  <si>
    <t>how much do you spend per month?--&gt;</t>
  </si>
  <si>
    <t>Make selections about your program below</t>
  </si>
  <si>
    <t>Countries</t>
  </si>
  <si>
    <t>value</t>
  </si>
  <si>
    <t>Ad</t>
  </si>
  <si>
    <t>US Dollar</t>
  </si>
  <si>
    <t>1.00 USD</t>
  </si>
  <si>
    <t>inv. 1.00 USD</t>
  </si>
  <si>
    <t>Euro</t>
  </si>
  <si>
    <t>British Pound</t>
  </si>
  <si>
    <t>Indian Rupee</t>
  </si>
  <si>
    <t>Australian Dollar</t>
  </si>
  <si>
    <t>Canadian Dollar</t>
  </si>
  <si>
    <t>Singapore Dollar</t>
  </si>
  <si>
    <t>Swiss Franc</t>
  </si>
  <si>
    <t>Malaysian Ringgit</t>
  </si>
  <si>
    <t>Japanese Yen</t>
  </si>
  <si>
    <t>Chinese Yuan Renminbi</t>
  </si>
  <si>
    <t>Argentine Peso</t>
  </si>
  <si>
    <t>Bahraini Dinar</t>
  </si>
  <si>
    <t>Botswana Pula</t>
  </si>
  <si>
    <t>Brazilian Real</t>
  </si>
  <si>
    <t>Bruneian Dollar</t>
  </si>
  <si>
    <t>Bulgarian Lev</t>
  </si>
  <si>
    <t>Chilean Peso</t>
  </si>
  <si>
    <t>Colombian Peso</t>
  </si>
  <si>
    <t>Croatian Kuna</t>
  </si>
  <si>
    <t>Czech Koruna</t>
  </si>
  <si>
    <t>Danish Krone</t>
  </si>
  <si>
    <t>Hong Kong Dollar</t>
  </si>
  <si>
    <t>Hungarian Forint</t>
  </si>
  <si>
    <t>Icelandic Krona</t>
  </si>
  <si>
    <t>Indonesian Rupiah</t>
  </si>
  <si>
    <t>Iranian Rial</t>
  </si>
  <si>
    <t>Israeli Shekel</t>
  </si>
  <si>
    <t>Kazakhstani Tenge</t>
  </si>
  <si>
    <t>South Korean Won</t>
  </si>
  <si>
    <t>Kuwaiti Dinar</t>
  </si>
  <si>
    <t>Libyan Dinar</t>
  </si>
  <si>
    <t>Mauritian Rupee</t>
  </si>
  <si>
    <t>Mexican Peso</t>
  </si>
  <si>
    <t>Nepalese Rupee</t>
  </si>
  <si>
    <t>New Zealand Dollar</t>
  </si>
  <si>
    <t>Norwegian Krone</t>
  </si>
  <si>
    <t>Omani Rial</t>
  </si>
  <si>
    <t>Pakistani Rupee</t>
  </si>
  <si>
    <t>Philippine Peso</t>
  </si>
  <si>
    <t>Polish Zloty</t>
  </si>
  <si>
    <t>Qatari Riyal</t>
  </si>
  <si>
    <t>Romanian New Leu</t>
  </si>
  <si>
    <t>Russian Ruble</t>
  </si>
  <si>
    <t>Saudi Arabian Riyal</t>
  </si>
  <si>
    <t>South African Rand</t>
  </si>
  <si>
    <t>Sri Lankan Rupee</t>
  </si>
  <si>
    <t>Swedish Krona</t>
  </si>
  <si>
    <t>Taiwan New Dollar</t>
  </si>
  <si>
    <t>Thai Baht</t>
  </si>
  <si>
    <t>Trinidadian Dollar</t>
  </si>
  <si>
    <t>Turkish Lira</t>
  </si>
  <si>
    <t>Emirati Dirham</t>
  </si>
  <si>
    <t>Venezuelan Bolivar</t>
  </si>
  <si>
    <t>Change Currency Table base currency</t>
  </si>
  <si>
    <t>Percent Change in the Last 24 Hours</t>
  </si>
  <si>
    <t>AD</t>
  </si>
  <si>
    <t>Useful Links</t>
  </si>
  <si>
    <t>Euro Information</t>
  </si>
  <si>
    <t>FAQ</t>
  </si>
  <si>
    <t>Feedback</t>
  </si>
  <si>
    <t>Terms of Service</t>
  </si>
  <si>
    <t>Privacy</t>
  </si>
  <si>
    <t>Cookie Policy</t>
  </si>
  <si>
    <t>Advertise on X-Rates</t>
  </si>
  <si>
    <t>Skip to Main Content</t>
  </si>
  <si>
    <t>xrates logo</t>
  </si>
  <si>
    <t>Home</t>
  </si>
  <si>
    <t>Currency Calculator</t>
  </si>
  <si>
    <t>Graphs</t>
  </si>
  <si>
    <t>Rates Table</t>
  </si>
  <si>
    <t>Monthly Average</t>
  </si>
  <si>
    <t>Historic Lookup</t>
  </si>
  <si>
    <t>1. Configure Converter</t>
  </si>
  <si>
    <t>amount  ►</t>
  </si>
  <si>
    <t>↔</t>
  </si>
  <si>
    <t>►Currency Calculator►</t>
  </si>
  <si>
    <t>►Graphs►</t>
  </si>
  <si>
    <t>►Rates Table►</t>
  </si>
  <si>
    <t>►Monthly Average</t>
  </si>
  <si>
    <t>averageYear</t>
  </si>
  <si>
    <t>►Historic Lookup</t>
  </si>
  <si>
    <t>historical date</t>
  </si>
  <si>
    <t>▼ For commercial-grade data, get the XE Currency Data API.</t>
  </si>
  <si>
    <t>How much extra to plan for, compared to staying at UAF</t>
  </si>
  <si>
    <t>You can also adjust your cost of attendance to receive more funding to cover additional expenses such as airfare,</t>
  </si>
  <si>
    <t xml:space="preserve">visa expenses, increased living expenses, or anything associated with your program. Fill out a 'Budget Revision </t>
  </si>
  <si>
    <t>Request' form with the Financial Aid Office.</t>
  </si>
  <si>
    <r>
      <rPr>
        <b/>
        <sz val="11"/>
        <color theme="1"/>
        <rFont val="Calibri"/>
        <family val="2"/>
        <scheme val="minor"/>
      </rPr>
      <t>Did you know?</t>
    </r>
    <r>
      <rPr>
        <sz val="11"/>
        <color theme="1"/>
        <rFont val="Calibri"/>
        <family val="2"/>
        <scheme val="minor"/>
      </rPr>
      <t xml:space="preserve"> You are still eligible to receive most UAF scholarships regardless of which program </t>
    </r>
  </si>
  <si>
    <t>you participate on. Check with the Study Away or Financial Aid Office to confirm which scholarships apply.</t>
  </si>
  <si>
    <t>Home &gt; US Dollar Exchange Rates Table</t>
  </si>
  <si>
    <t xml:space="preserve">US Dollar Exchange Rates Table Converter </t>
  </si>
  <si>
    <t>© X-Rates 2021</t>
  </si>
  <si>
    <t>Top 10 Jul 01, 2021 00:15 UTC</t>
  </si>
  <si>
    <t>Alphabetical order Jul 01, 2021 00:15 UTC</t>
  </si>
  <si>
    <t>Jul 01, 2021 00:15 UTC</t>
  </si>
  <si>
    <t>EUR/USD-0.42089%</t>
  </si>
  <si>
    <t>USD/JPY+0.51234%</t>
  </si>
  <si>
    <t>GBP/USD-0.16163%</t>
  </si>
  <si>
    <t>USD/CHF+0.49897%</t>
  </si>
  <si>
    <t>USD/CAD+0.00112%</t>
  </si>
  <si>
    <t>EUR/JPY+0.08930%</t>
  </si>
  <si>
    <t>AUD/USD-0.31910%</t>
  </si>
  <si>
    <t>CNY/USD+0.07311%</t>
  </si>
  <si>
    <t>(amounts in parenthesis are estimates that are less than an average semester at UAF)</t>
  </si>
  <si>
    <t>ALL THREE BELOW ARE REQUIRED FOR WORKSHEET TO FUNCTION</t>
  </si>
  <si>
    <t>International Exchange/north2north</t>
  </si>
  <si>
    <t>NSE Home Pay (UAF tuition)</t>
  </si>
  <si>
    <t>NSE Host Pay (instate Host tuition)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</si>
</sst>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;;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2" fillId="2" borderId="2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44" fontId="0" fillId="0" borderId="0" xfId="1" applyFont="1" applyProtection="1">
      <protection hidden="1"/>
    </xf>
    <xf numFmtId="44" fontId="0" fillId="0" borderId="0" xfId="1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44" fontId="2" fillId="2" borderId="1" xfId="0" applyNumberFormat="1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0" xfId="0" applyFill="1" applyProtection="1">
      <protection hidden="1"/>
    </xf>
    <xf numFmtId="44" fontId="0" fillId="0" borderId="0" xfId="1" applyFont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44" fontId="0" fillId="0" borderId="0" xfId="1" applyFont="1" applyFill="1" applyProtection="1">
      <protection locked="0" hidden="1"/>
    </xf>
    <xf numFmtId="44" fontId="0" fillId="0" borderId="0" xfId="1" applyFont="1" applyProtection="1">
      <protection locked="0" hidden="1"/>
    </xf>
    <xf numFmtId="0" fontId="0" fillId="0" borderId="0" xfId="0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44" fontId="0" fillId="0" borderId="0" xfId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44" fontId="0" fillId="0" borderId="0" xfId="1" applyFont="1" applyFill="1" applyAlignment="1" applyProtection="1">
      <alignment vertical="center"/>
      <protection locked="0" hidden="1"/>
    </xf>
    <xf numFmtId="0" fontId="3" fillId="2" borderId="2" xfId="0" applyFont="1" applyFill="1" applyBorder="1" applyAlignment="1" applyProtection="1">
      <alignment horizontal="right"/>
      <protection hidden="1"/>
    </xf>
    <xf numFmtId="44" fontId="3" fillId="2" borderId="2" xfId="0" applyNumberFormat="1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44" fontId="3" fillId="2" borderId="1" xfId="0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44" fontId="3" fillId="0" borderId="0" xfId="0" applyNumberFormat="1" applyFont="1" applyFill="1" applyBorder="1" applyProtection="1">
      <protection hidden="1"/>
    </xf>
    <xf numFmtId="0" fontId="4" fillId="0" borderId="0" xfId="0" applyFont="1"/>
    <xf numFmtId="164" fontId="4" fillId="0" borderId="0" xfId="0" applyNumberFormat="1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6" fillId="0" borderId="0" xfId="0" applyFont="1" applyAlignment="1">
      <alignment vertical="top"/>
    </xf>
    <xf numFmtId="0" fontId="0" fillId="2" borderId="3" xfId="0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" fontId="7" fillId="0" borderId="0" xfId="0" applyNumberFormat="1" applyFont="1" applyFill="1" applyBorder="1" applyProtection="1">
      <protection hidden="1"/>
    </xf>
  </cellXfs>
  <cellStyles count="2">
    <cellStyle name="Currency" xfId="1" builtinId="4"/>
    <cellStyle name="Normal" xfId="0" builtinId="0"/>
  </cellStyles>
  <dxfs count="62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?from=USD&amp;amount=1" refreshOnLoad="1" connectionId="1" xr16:uid="{00000000-0016-0000-02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7"/>
  <sheetViews>
    <sheetView tabSelected="1" showRuler="0" zoomScaleNormal="100" workbookViewId="0">
      <selection activeCell="D16" sqref="D16:D18"/>
    </sheetView>
  </sheetViews>
  <sheetFormatPr defaultRowHeight="14.4" x14ac:dyDescent="0.3"/>
  <cols>
    <col min="1" max="1" width="36.5546875" bestFit="1" customWidth="1"/>
    <col min="2" max="2" width="32.33203125" customWidth="1"/>
    <col min="3" max="3" width="37.44140625" bestFit="1" customWidth="1"/>
    <col min="4" max="4" width="11.88671875" bestFit="1" customWidth="1"/>
    <col min="9" max="9" width="11.109375" bestFit="1" customWidth="1"/>
  </cols>
  <sheetData>
    <row r="1" spans="1:5" x14ac:dyDescent="0.3">
      <c r="A1" s="1" t="s">
        <v>67</v>
      </c>
      <c r="B1" s="2"/>
      <c r="C1" s="36" t="s">
        <v>178</v>
      </c>
      <c r="D1" s="2"/>
    </row>
    <row r="2" spans="1:5" ht="47.25" customHeight="1" x14ac:dyDescent="0.3">
      <c r="A2" s="3" t="s">
        <v>3</v>
      </c>
      <c r="B2" s="18"/>
      <c r="C2" s="3" t="str">
        <f>IF(NOT(ISBLANK(B2)),"","&lt;--select one from dropdown")</f>
        <v>&lt;--select one from dropdown</v>
      </c>
      <c r="D2" s="18"/>
      <c r="E2" t="str">
        <f>IF((OR((B2="NSE Home Pay (UAF tuition)"),(B2="NSE Host Pay (instate Host tuition)"))),"&lt;--Is your host campus in Canada?","")</f>
        <v/>
      </c>
    </row>
    <row r="3" spans="1:5" x14ac:dyDescent="0.3">
      <c r="A3" s="4" t="s">
        <v>26</v>
      </c>
      <c r="B3" s="19"/>
      <c r="C3" s="4" t="str">
        <f>IF(NOT(ISBLANK(B3)),"","&lt;-- select one")</f>
        <v>&lt;-- select one</v>
      </c>
      <c r="D3" s="4"/>
    </row>
    <row r="4" spans="1:5" x14ac:dyDescent="0.3">
      <c r="A4" s="4" t="s">
        <v>41</v>
      </c>
      <c r="B4" s="19"/>
      <c r="C4" s="4" t="str">
        <f>IF(NOT(ISBLANK(B4)),"","&lt;-- select your study away program length")</f>
        <v>&lt;-- select your study away program length</v>
      </c>
      <c r="D4" s="4"/>
    </row>
    <row r="5" spans="1:5" ht="15" thickBot="1" x14ac:dyDescent="0.35">
      <c r="A5" s="5" t="s">
        <v>0</v>
      </c>
      <c r="B5" s="6"/>
      <c r="C5" s="6"/>
      <c r="D5" s="6"/>
    </row>
    <row r="6" spans="1:5" ht="15" thickTop="1" x14ac:dyDescent="0.3">
      <c r="A6" s="4" t="s">
        <v>55</v>
      </c>
      <c r="B6" s="19"/>
      <c r="C6" s="33" t="str">
        <f>IF(NOT(ISBLANK(B6)),"","&lt;-- yes or no")</f>
        <v>&lt;-- yes or no</v>
      </c>
      <c r="D6" s="15"/>
    </row>
    <row r="7" spans="1:5" x14ac:dyDescent="0.3">
      <c r="A7" s="4" t="s">
        <v>2</v>
      </c>
      <c r="B7" s="8">
        <f>IFERROR(VLOOKUP(B3,(Sheet2!B9:D11),3,FALSE)*VLOOKUP($B$4,Sheet2!$I$9:$K$15,3,FALSE),0)</f>
        <v>0</v>
      </c>
      <c r="C7" s="7"/>
      <c r="D7" s="15"/>
    </row>
    <row r="8" spans="1:5" x14ac:dyDescent="0.3">
      <c r="A8" s="4" t="s">
        <v>6</v>
      </c>
      <c r="B8" s="9">
        <f>IFERROR(IF($B$6="yes",2700*VLOOKUP($B$4,Sheet2!$I$9:$K$15,3,FALSE),(VLOOKUP($B$4,Sheet2!$I$9:$K$15,2,FALSE)*Sheet1!D8)),0)</f>
        <v>0</v>
      </c>
      <c r="C8" s="7" t="str">
        <f>IF((AND($B$6="no",B8&gt;=0)),"how much do you spend per month?--&gt;","")</f>
        <v/>
      </c>
      <c r="D8" s="16"/>
    </row>
    <row r="9" spans="1:5" x14ac:dyDescent="0.3">
      <c r="A9" s="4" t="s">
        <v>7</v>
      </c>
      <c r="B9" s="9">
        <f>IFERROR(IF($B$6="yes",2695*VLOOKUP($B$4,Sheet2!$I$9:$K$15,3,FALSE),(VLOOKUP($B$4,Sheet2!$I$9:$K$15,2,FALSE)*Sheet1!D9)),0)</f>
        <v>0</v>
      </c>
      <c r="C9" s="7" t="str">
        <f>IF((AND($B$6="no",B9&gt;=0)),"how much do you spend per month?--&gt;","")</f>
        <v/>
      </c>
      <c r="D9" s="16"/>
    </row>
    <row r="10" spans="1:5" x14ac:dyDescent="0.3">
      <c r="A10" s="4" t="s">
        <v>15</v>
      </c>
      <c r="B10" s="8">
        <f>IFERROR(VLOOKUP($B$4,Sheet2!$I$9:$K$15,2,FALSE)*Sheet1!D10,0)</f>
        <v>0</v>
      </c>
      <c r="C10" s="7" t="s">
        <v>66</v>
      </c>
      <c r="D10" s="16"/>
    </row>
    <row r="11" spans="1:5" x14ac:dyDescent="0.3">
      <c r="A11" s="10" t="s">
        <v>65</v>
      </c>
      <c r="B11" s="11">
        <f>SUM(B7:B10)</f>
        <v>0</v>
      </c>
      <c r="C11" s="12"/>
      <c r="D11" s="12"/>
    </row>
    <row r="12" spans="1:5" x14ac:dyDescent="0.3">
      <c r="A12" s="4"/>
      <c r="B12" s="9" t="str">
        <f>IF(AND(A13="currency conversion from $1 USD",ISBLANK(B13)),"Choose Host Currency below","")</f>
        <v/>
      </c>
      <c r="C12" s="7" t="str">
        <f>IF(NOT(ISBLANK(B13)),"Host Currency Value to $1 USD","")</f>
        <v/>
      </c>
      <c r="D12" s="13" t="str">
        <f>IF(NOT(ISBLANK(B13)),"as of July 1, 2021","")</f>
        <v/>
      </c>
    </row>
    <row r="13" spans="1:5" x14ac:dyDescent="0.3">
      <c r="A13" s="4" t="str">
        <f>IF((OR($B$2="study abroad with provider (aifs, api, geo, ifsa, isa, kei, semester at sea)",$B$2="exchange",$D$2="yes")),"Currency Conversion from $1 USD","")</f>
        <v/>
      </c>
      <c r="B13" s="15"/>
      <c r="C13" s="20" t="str">
        <f>IFERROR((IF(A13="Currency Conversion from $1 USD",VLOOKUP($B$13,Sheet3!A29:C81,2,FALSE),"")),"")</f>
        <v/>
      </c>
      <c r="D13" s="4"/>
    </row>
    <row r="14" spans="1:5" ht="15" thickBot="1" x14ac:dyDescent="0.35">
      <c r="A14" s="5" t="s">
        <v>23</v>
      </c>
      <c r="B14" s="6"/>
      <c r="C14" s="25"/>
      <c r="D14" s="26"/>
    </row>
    <row r="15" spans="1:5" ht="15" thickTop="1" x14ac:dyDescent="0.3">
      <c r="A15" s="4" t="s">
        <v>16</v>
      </c>
      <c r="B15" s="9">
        <f>IFERROR(VLOOKUP($B$2,Sheet2!$B$1:$L$5,2,FALSE)*VLOOKUP($B$4,Sheet2!$I$9:$K$15,3,FALSE),0)</f>
        <v>0</v>
      </c>
      <c r="C15" s="7"/>
      <c r="D15" s="15"/>
    </row>
    <row r="16" spans="1:5" x14ac:dyDescent="0.3">
      <c r="A16" s="4" t="s">
        <v>30</v>
      </c>
      <c r="B16" s="9" t="str">
        <f>IF(AND((OR(B2="International Exchange/north2north",B2="NSE Home Payment (UAF tuition)")),(OR(B3="WUE",B3="Non-Resident"))),VLOOKUP(B3,Sheet2!B9:C11,2,FALSE)*VLOOKUP($B$4,Sheet2!$I$9:$K$15,3,FALSE),"n/a")</f>
        <v>n/a</v>
      </c>
      <c r="C16" s="7"/>
      <c r="D16" s="15"/>
    </row>
    <row r="17" spans="1:4" x14ac:dyDescent="0.3">
      <c r="A17" s="4" t="s">
        <v>59</v>
      </c>
      <c r="B17" s="9">
        <f>IFERROR(IF(VLOOKUP($B$2,Sheet2!$B$1:$N$5,13,FALSE)=0,D17,(VLOOKUP(B2,Sheet2!B1:N5,13,FALSE))),0)</f>
        <v>0</v>
      </c>
      <c r="C17" s="7" t="str">
        <f>IF(B2="NSE Host Payment","Enter estimated tuition to pay to host--&gt;","")</f>
        <v/>
      </c>
      <c r="D17" s="15"/>
    </row>
    <row r="18" spans="1:4" x14ac:dyDescent="0.3">
      <c r="A18" s="4" t="s">
        <v>17</v>
      </c>
      <c r="B18" s="9">
        <f>IFERROR(IF(VLOOKUP($B$2,Sheet2!$B$1:$L$5,3,FALSE)=0,D18,VLOOKUP($B$2,Sheet2!$B$1:$L$5,3,FALSE)),0)</f>
        <v>0</v>
      </c>
      <c r="C18" s="7" t="str">
        <f>IF(B2="Study Abroad with Provider (AIFS, api, geo, ifsa, isa, kei, semester at sea)","Enter Provider Fee here--&gt;","")</f>
        <v/>
      </c>
      <c r="D18" s="15"/>
    </row>
    <row r="19" spans="1:4" ht="30" customHeight="1" x14ac:dyDescent="0.3">
      <c r="A19" s="3" t="s">
        <v>50</v>
      </c>
      <c r="B19" s="14" t="str">
        <f>IFERROR(IF(OR(B2="International Exchange/north2north",D2="Yes"),(VLOOKUP(B4,Sheet2!I9:J15,2,FALSE))*60,IFERROR((VLOOKUP($B$2,Sheet2!$B$1:$L$5,10,FALSE)*VLOOKUP($B$4,Sheet2!$I$9:$J$15,2,FALSE)),"Not Required")),"")</f>
        <v>Not Required</v>
      </c>
      <c r="C19" s="34" t="str">
        <f>IF(B19="Not Required","","Estimated Cost is Approximately $60 per month, but this may vary")</f>
        <v/>
      </c>
      <c r="D19" s="15"/>
    </row>
    <row r="20" spans="1:4" x14ac:dyDescent="0.3">
      <c r="A20" s="4" t="s">
        <v>18</v>
      </c>
      <c r="B20" s="9">
        <f>IFERROR(IF(VLOOKUP($B$2,Sheet2!$B$1:$L$5,4,FALSE)=0,(VLOOKUP($B$4,Sheet2!$I$9:$J$15,2,FALSE))*Sheet1!D20,(VLOOKUP($B$2,Sheet2!$B$1:$L$5,4,FALSE))),0)</f>
        <v>0</v>
      </c>
      <c r="C20" s="7" t="str">
        <f>IF($B$2="Study Abroad with Provider (AIFS, API, GEO, IFSA, ISA, KEI, Semester at Sea)", "","how much will you spend per month?--&gt;")</f>
        <v>how much will you spend per month?--&gt;</v>
      </c>
      <c r="D20" s="16"/>
    </row>
    <row r="21" spans="1:4" ht="42.75" customHeight="1" x14ac:dyDescent="0.3">
      <c r="A21" s="21" t="s">
        <v>10</v>
      </c>
      <c r="B21" s="22">
        <f>IFERROR(IF(VLOOKUP($B$2,Sheet2!$B$1:$L$5,5,FALSE)=0,(VLOOKUP($B$4,Sheet2!$I$9:$J$15,2,FALSE))*Sheet1!D21,(VLOOKUP($B$2,Sheet2!$B$1:$L$5,5,FALSE))),0)</f>
        <v>0</v>
      </c>
      <c r="C21" s="23" t="str">
        <f>IF($B$2="Study Abroad with Provider (AIFS, API, GEO, IFSA, ISA, KEI, Semester at Sea)", "","how much will you spend per month?--&gt;")</f>
        <v>how much will you spend per month?--&gt;</v>
      </c>
      <c r="D21" s="24"/>
    </row>
    <row r="22" spans="1:4" x14ac:dyDescent="0.3">
      <c r="A22" s="4" t="s">
        <v>19</v>
      </c>
      <c r="B22" s="9">
        <f>D22</f>
        <v>0</v>
      </c>
      <c r="C22" s="7" t="s">
        <v>63</v>
      </c>
      <c r="D22" s="16"/>
    </row>
    <row r="23" spans="1:4" x14ac:dyDescent="0.3">
      <c r="A23" s="4" t="s">
        <v>20</v>
      </c>
      <c r="B23" s="9">
        <f>IFERROR(VLOOKUP($B$4,Sheet2!$I$9:$J$15,2,FALSE)*D23,0)</f>
        <v>0</v>
      </c>
      <c r="C23" s="7" t="s">
        <v>49</v>
      </c>
      <c r="D23" s="16"/>
    </row>
    <row r="24" spans="1:4" x14ac:dyDescent="0.3">
      <c r="A24" s="4" t="s">
        <v>21</v>
      </c>
      <c r="B24" s="9">
        <f>IFERROR(VLOOKUP($B$4,Sheet2!$I$9:$J$15,2,FALSE)*D24,0)</f>
        <v>0</v>
      </c>
      <c r="C24" s="7" t="s">
        <v>49</v>
      </c>
      <c r="D24" s="16"/>
    </row>
    <row r="25" spans="1:4" x14ac:dyDescent="0.3">
      <c r="A25" s="4" t="s">
        <v>22</v>
      </c>
      <c r="B25" s="9">
        <f>IFERROR(VLOOKUP($B$4,Sheet2!$I$9:$J$15,2,FALSE)*D25,0)</f>
        <v>0</v>
      </c>
      <c r="C25" s="7" t="s">
        <v>49</v>
      </c>
      <c r="D25" s="16"/>
    </row>
    <row r="26" spans="1:4" x14ac:dyDescent="0.3">
      <c r="A26" s="4" t="str">
        <f>IF((OR($B$2="study abroad with provider (aifs, api, geo, ifsa, isa, kei, semester at sea)",$B$2="exchange",$D$2="yes")),"Passport Application/Renewal","")</f>
        <v/>
      </c>
      <c r="B26" s="8" t="str">
        <f>IFERROR(IF(D26&lt;1,"",D26),0)</f>
        <v/>
      </c>
      <c r="C26" s="7" t="str">
        <f>IF((OR($B$2="study abroad with provider (aifs, api, geo, ifsa, isa, kei, semester at sea)",$B$2="exchange",$D$2="yes")),"how much will it cost? OR n/a--&gt;","")</f>
        <v/>
      </c>
      <c r="D26" s="17"/>
    </row>
    <row r="27" spans="1:4" x14ac:dyDescent="0.3">
      <c r="A27" s="4" t="str">
        <f>IF((OR($B$2="study abroad with provider (aifs, api, geo, ifsa, isa, kei, semester at sea)",$B$2="exchange",$D$2="yes")),"Visa/Residence Permit Costs","")</f>
        <v/>
      </c>
      <c r="B27" s="8" t="str">
        <f>IFERROR(IF(D27&lt;1,"",D27),0)</f>
        <v/>
      </c>
      <c r="C27" s="7" t="str">
        <f>IF((OR($B$2="study abroad with provider (aifs, api, geo, ifsa, isa, kei, semester at sea)",$B$2="exchange",$D$2="yes")),"how much will it cost? OR n/a--&gt;","")</f>
        <v/>
      </c>
      <c r="D27" s="17"/>
    </row>
    <row r="28" spans="1:4" x14ac:dyDescent="0.3">
      <c r="A28" s="10" t="s">
        <v>54</v>
      </c>
      <c r="B28" s="11">
        <f>SUM(B15:B27)</f>
        <v>0</v>
      </c>
      <c r="C28" s="27"/>
      <c r="D28" s="28"/>
    </row>
    <row r="29" spans="1:4" x14ac:dyDescent="0.3">
      <c r="A29" s="4"/>
      <c r="D29" s="4"/>
    </row>
    <row r="30" spans="1:4" x14ac:dyDescent="0.3">
      <c r="B30" s="29" t="s">
        <v>157</v>
      </c>
      <c r="C30" s="30">
        <f>B28-B11</f>
        <v>0</v>
      </c>
    </row>
    <row r="31" spans="1:4" ht="25.2" customHeight="1" x14ac:dyDescent="0.3">
      <c r="C31" s="35" t="s">
        <v>177</v>
      </c>
    </row>
    <row r="32" spans="1:4" x14ac:dyDescent="0.3">
      <c r="B32" t="s">
        <v>161</v>
      </c>
    </row>
    <row r="33" spans="2:2" x14ac:dyDescent="0.3">
      <c r="B33" t="s">
        <v>162</v>
      </c>
    </row>
    <row r="35" spans="2:2" x14ac:dyDescent="0.3">
      <c r="B35" t="s">
        <v>158</v>
      </c>
    </row>
    <row r="36" spans="2:2" x14ac:dyDescent="0.3">
      <c r="B36" t="s">
        <v>159</v>
      </c>
    </row>
    <row r="37" spans="2:2" x14ac:dyDescent="0.3">
      <c r="B37" t="s">
        <v>160</v>
      </c>
    </row>
  </sheetData>
  <sheetProtection algorithmName="SHA-512" hashValue="E3NiB/BPSjvVSFNV+CQa72juKWlJtJ98DDci4owQbftkoP6eFFlh4oe5lIm7ylSBtU4zWh3SeWhkTbNUAo3V7g==" saltValue="5UvvyvP0ZaFVn5H9Ai60jA==" spinCount="100000" sheet="1" objects="1" scenarios="1" selectLockedCells="1"/>
  <customSheetViews>
    <customSheetView guid="{6840547F-AFCF-4FC0-8990-CE6E2E0107D1}" showPageBreaks="1" view="pageLayout">
      <selection activeCell="D5" sqref="D5"/>
    </customSheetView>
  </customSheetViews>
  <conditionalFormatting sqref="C2">
    <cfRule type="expression" dxfId="61" priority="13">
      <formula>D2="no"</formula>
    </cfRule>
    <cfRule type="expression" dxfId="60" priority="14">
      <formula>D2="yes"</formula>
    </cfRule>
    <cfRule type="containsText" dxfId="59" priority="73" operator="containsText" text="Is your NSE location in Canada?--&gt;">
      <formula>NOT(ISERROR(SEARCH("Is your NSE location in Canada?--&gt;",C2)))</formula>
    </cfRule>
  </conditionalFormatting>
  <conditionalFormatting sqref="D2">
    <cfRule type="cellIs" dxfId="58" priority="12" operator="equal">
      <formula>"choose yes or no"</formula>
    </cfRule>
    <cfRule type="containsText" dxfId="57" priority="16" operator="containsText" text="no">
      <formula>NOT(ISERROR(SEARCH("no",D2)))</formula>
    </cfRule>
    <cfRule type="containsText" dxfId="56" priority="17" operator="containsText" text="yes">
      <formula>NOT(ISERROR(SEARCH("yes",D2)))</formula>
    </cfRule>
    <cfRule type="expression" dxfId="0" priority="71">
      <formula>$E$2="&lt;--Is your host campus in Canada?"</formula>
    </cfRule>
  </conditionalFormatting>
  <conditionalFormatting sqref="B17">
    <cfRule type="expression" dxfId="55" priority="41">
      <formula>B17&gt;0</formula>
    </cfRule>
    <cfRule type="cellIs" dxfId="54" priority="70" operator="equal">
      <formula>0</formula>
    </cfRule>
  </conditionalFormatting>
  <conditionalFormatting sqref="C8:C12 D11">
    <cfRule type="containsText" dxfId="53" priority="69" operator="containsText" text="how much do you spend per month?--&gt;">
      <formula>NOT(ISERROR(SEARCH("how much do you spend per month?--&gt;",C8)))</formula>
    </cfRule>
  </conditionalFormatting>
  <conditionalFormatting sqref="B22">
    <cfRule type="cellIs" dxfId="52" priority="66" operator="equal">
      <formula>0</formula>
    </cfRule>
  </conditionalFormatting>
  <conditionalFormatting sqref="D8:D10 D12">
    <cfRule type="expression" dxfId="51" priority="76">
      <formula>B6="no"</formula>
    </cfRule>
  </conditionalFormatting>
  <conditionalFormatting sqref="D9:D10 D12">
    <cfRule type="expression" dxfId="50" priority="77">
      <formula>B6="no"</formula>
    </cfRule>
  </conditionalFormatting>
  <conditionalFormatting sqref="B18">
    <cfRule type="expression" dxfId="49" priority="38">
      <formula>B18&gt;0</formula>
    </cfRule>
    <cfRule type="cellIs" dxfId="48" priority="65" operator="equal">
      <formula>0</formula>
    </cfRule>
  </conditionalFormatting>
  <conditionalFormatting sqref="B15:B25">
    <cfRule type="cellIs" dxfId="47" priority="64" operator="equal">
      <formula>0</formula>
    </cfRule>
  </conditionalFormatting>
  <conditionalFormatting sqref="B8:B9">
    <cfRule type="cellIs" dxfId="46" priority="63" operator="equal">
      <formula>0</formula>
    </cfRule>
  </conditionalFormatting>
  <conditionalFormatting sqref="C20:C25">
    <cfRule type="containsText" dxfId="45" priority="60" operator="containsText" text="how much will you spend per month?--&gt;">
      <formula>NOT(ISERROR(SEARCH("how much will you spend per month?--&gt;",C20)))</formula>
    </cfRule>
  </conditionalFormatting>
  <conditionalFormatting sqref="D20:D21">
    <cfRule type="expression" dxfId="44" priority="59">
      <formula>$B$2&lt;&gt;"Study Abroad with Provider (AIFS, API, GEO, IFSA, ISA, KEI, Semester at Sea)"</formula>
    </cfRule>
  </conditionalFormatting>
  <conditionalFormatting sqref="D22:D25">
    <cfRule type="cellIs" dxfId="43" priority="58" operator="equal">
      <formula>0</formula>
    </cfRule>
  </conditionalFormatting>
  <conditionalFormatting sqref="C17:C18">
    <cfRule type="containsText" dxfId="42" priority="57" operator="containsText" text="Enter Provider Fee here--&gt;">
      <formula>NOT(ISERROR(SEARCH("Enter Provider Fee here--&gt;",C17)))</formula>
    </cfRule>
  </conditionalFormatting>
  <conditionalFormatting sqref="D18">
    <cfRule type="expression" dxfId="41" priority="56">
      <formula>$C$18="Enter Provider Fee here--&gt;"</formula>
    </cfRule>
  </conditionalFormatting>
  <conditionalFormatting sqref="D20">
    <cfRule type="expression" dxfId="40" priority="52">
      <formula>E21&gt;0</formula>
    </cfRule>
  </conditionalFormatting>
  <conditionalFormatting sqref="C22:C25">
    <cfRule type="expression" dxfId="39" priority="51">
      <formula>D22=0</formula>
    </cfRule>
  </conditionalFormatting>
  <conditionalFormatting sqref="C17">
    <cfRule type="expression" dxfId="38" priority="45">
      <formula>D17&gt;0</formula>
    </cfRule>
    <cfRule type="containsText" dxfId="37" priority="50" operator="containsText" text="Enter estimated tuition to pay to host--&gt;">
      <formula>NOT(ISERROR(SEARCH("Enter estimated tuition to pay to host--&gt;",C17)))</formula>
    </cfRule>
  </conditionalFormatting>
  <conditionalFormatting sqref="D17">
    <cfRule type="expression" dxfId="36" priority="49">
      <formula>B2="nse host payment"</formula>
    </cfRule>
  </conditionalFormatting>
  <conditionalFormatting sqref="D8:D9 D17:D18 D20:D25">
    <cfRule type="cellIs" dxfId="35" priority="47" operator="greaterThan">
      <formula>0</formula>
    </cfRule>
  </conditionalFormatting>
  <conditionalFormatting sqref="D8:D9 D17 D20:D27">
    <cfRule type="cellIs" dxfId="34" priority="46" operator="greaterThan">
      <formula>0</formula>
    </cfRule>
  </conditionalFormatting>
  <conditionalFormatting sqref="C20">
    <cfRule type="expression" dxfId="33" priority="44">
      <formula>D20&gt;0</formula>
    </cfRule>
  </conditionalFormatting>
  <conditionalFormatting sqref="C21">
    <cfRule type="expression" dxfId="32" priority="43">
      <formula>D21&gt;0</formula>
    </cfRule>
  </conditionalFormatting>
  <conditionalFormatting sqref="C23:C25">
    <cfRule type="expression" dxfId="31" priority="42">
      <formula>D23&gt;0</formula>
    </cfRule>
  </conditionalFormatting>
  <conditionalFormatting sqref="D8">
    <cfRule type="expression" dxfId="30" priority="40">
      <formula>B8="how much do you spend per month?--&gt;"</formula>
    </cfRule>
  </conditionalFormatting>
  <conditionalFormatting sqref="D9">
    <cfRule type="expression" dxfId="29" priority="39">
      <formula>B9="how much do you spend per month?--&gt;"</formula>
    </cfRule>
  </conditionalFormatting>
  <conditionalFormatting sqref="C18">
    <cfRule type="expression" dxfId="28" priority="37">
      <formula>B18&gt;0</formula>
    </cfRule>
  </conditionalFormatting>
  <conditionalFormatting sqref="C8">
    <cfRule type="expression" dxfId="27" priority="36">
      <formula>D8&gt;0</formula>
    </cfRule>
  </conditionalFormatting>
  <conditionalFormatting sqref="C9">
    <cfRule type="expression" dxfId="26" priority="35">
      <formula>D9&gt;0</formula>
    </cfRule>
  </conditionalFormatting>
  <conditionalFormatting sqref="C26">
    <cfRule type="expression" dxfId="25" priority="24">
      <formula>D26&gt;0</formula>
    </cfRule>
    <cfRule type="containsText" dxfId="24" priority="34" operator="containsText" text="how much will it cost? OR n/a--&gt;">
      <formula>NOT(ISERROR(SEARCH("how much will it cost? OR n/a--&gt;",C26)))</formula>
    </cfRule>
  </conditionalFormatting>
  <conditionalFormatting sqref="C27">
    <cfRule type="expression" dxfId="23" priority="23">
      <formula>D27&gt;0</formula>
    </cfRule>
    <cfRule type="containsText" dxfId="22" priority="33" operator="containsText" text="how much will it cost? OR n/a--&gt;">
      <formula>NOT(ISERROR(SEARCH("how much will it cost? OR n/a--&gt;",C27)))</formula>
    </cfRule>
  </conditionalFormatting>
  <conditionalFormatting sqref="D26">
    <cfRule type="cellIs" dxfId="21" priority="30" operator="greaterThan">
      <formula>0</formula>
    </cfRule>
    <cfRule type="expression" dxfId="20" priority="32">
      <formula>A26="passport application/renewal"</formula>
    </cfRule>
  </conditionalFormatting>
  <conditionalFormatting sqref="D27">
    <cfRule type="cellIs" dxfId="19" priority="29" operator="greaterThan">
      <formula>0</formula>
    </cfRule>
    <cfRule type="expression" dxfId="18" priority="31">
      <formula>A27="Visa/Residence permit costs"</formula>
    </cfRule>
  </conditionalFormatting>
  <conditionalFormatting sqref="B26">
    <cfRule type="expression" dxfId="17" priority="26">
      <formula>D26&gt;0</formula>
    </cfRule>
    <cfRule type="expression" dxfId="16" priority="28">
      <formula>$A$26="passport application/renewal"</formula>
    </cfRule>
  </conditionalFormatting>
  <conditionalFormatting sqref="B27">
    <cfRule type="expression" dxfId="15" priority="25">
      <formula>D27&gt;0</formula>
    </cfRule>
    <cfRule type="expression" dxfId="14" priority="27">
      <formula>$A$27="visa/residence permit costs"</formula>
    </cfRule>
  </conditionalFormatting>
  <conditionalFormatting sqref="B10">
    <cfRule type="cellIs" dxfId="13" priority="22" operator="equal">
      <formula>0</formula>
    </cfRule>
  </conditionalFormatting>
  <conditionalFormatting sqref="D10">
    <cfRule type="cellIs" dxfId="12" priority="19" operator="greaterThan">
      <formula>0</formula>
    </cfRule>
    <cfRule type="expression" dxfId="11" priority="21">
      <formula>D10=0</formula>
    </cfRule>
  </conditionalFormatting>
  <conditionalFormatting sqref="B10:C10">
    <cfRule type="expression" dxfId="10" priority="20">
      <formula>D10&gt;0</formula>
    </cfRule>
  </conditionalFormatting>
  <conditionalFormatting sqref="C10">
    <cfRule type="expression" dxfId="9" priority="18">
      <formula>D10&gt;0</formula>
    </cfRule>
  </conditionalFormatting>
  <conditionalFormatting sqref="B13">
    <cfRule type="expression" dxfId="8" priority="11">
      <formula>A13="Currency Conversion from $1 USD"</formula>
    </cfRule>
  </conditionalFormatting>
  <conditionalFormatting sqref="B6">
    <cfRule type="containsBlanks" dxfId="7" priority="79">
      <formula>LEN(TRIM(B6))=0</formula>
    </cfRule>
  </conditionalFormatting>
  <conditionalFormatting sqref="B2">
    <cfRule type="containsBlanks" dxfId="6" priority="9">
      <formula>LEN(TRIM(B2))=0</formula>
    </cfRule>
  </conditionalFormatting>
  <conditionalFormatting sqref="B3">
    <cfRule type="containsBlanks" dxfId="5" priority="8">
      <formula>LEN(TRIM(B3))=0</formula>
    </cfRule>
  </conditionalFormatting>
  <conditionalFormatting sqref="B4">
    <cfRule type="containsBlanks" dxfId="4" priority="7">
      <formula>LEN(TRIM(B4))=0</formula>
    </cfRule>
  </conditionalFormatting>
  <conditionalFormatting sqref="B7">
    <cfRule type="cellIs" dxfId="3" priority="6" operator="equal">
      <formula>0</formula>
    </cfRule>
  </conditionalFormatting>
  <conditionalFormatting sqref="A13">
    <cfRule type="expression" dxfId="2" priority="1">
      <formula>NOT(ISBLANK($B$13))</formula>
    </cfRule>
    <cfRule type="containsText" dxfId="1" priority="2" operator="containsText" text="currency ">
      <formula>NOT(ISERROR(SEARCH("currency ",A13)))</formula>
    </cfRule>
  </conditionalFormatting>
  <dataValidations count="1">
    <dataValidation type="list" allowBlank="1" showInputMessage="1" showErrorMessage="1" sqref="B2" xr:uid="{00000000-0002-0000-0000-000000000000}">
      <formula1>Program</formula1>
    </dataValidation>
  </dataValidations>
  <printOptions horizontalCentered="1" verticalCentered="1"/>
  <pageMargins left="0.7" right="0.7" top="0.5" bottom="0.5" header="0.3" footer="0.3"/>
  <pageSetup orientation="landscape" r:id="rId1"/>
  <headerFooter>
    <oddHeader>&amp;C2020-2021 Budget Worksheet</oddHeader>
    <oddFooter xml:space="preserve">&amp;C 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Sheet2!$B$9:$B$11</xm:f>
          </x14:formula1>
          <xm:sqref>B3</xm:sqref>
        </x14:dataValidation>
        <x14:dataValidation type="list" allowBlank="1" showInputMessage="1" showErrorMessage="1" xr:uid="{00000000-0002-0000-0000-000002000000}">
          <x14:formula1>
            <xm:f>Sheet2!$I$9:$I$15</xm:f>
          </x14:formula1>
          <xm:sqref>B4</xm:sqref>
        </x14:dataValidation>
        <x14:dataValidation type="list" allowBlank="1" showInputMessage="1" showErrorMessage="1" xr:uid="{00000000-0002-0000-0000-000003000000}">
          <x14:formula1>
            <xm:f>Sheet2!$B$17:$B$18</xm:f>
          </x14:formula1>
          <xm:sqref>D2 B6</xm:sqref>
        </x14:dataValidation>
        <x14:dataValidation type="list" allowBlank="1" showInputMessage="1" showErrorMessage="1" xr:uid="{00000000-0002-0000-0000-000004000000}">
          <x14:formula1>
            <xm:f>Sheet3!$A$29:$A$81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32"/>
  <sheetViews>
    <sheetView workbookViewId="0">
      <selection sqref="A1:XFD1048576"/>
    </sheetView>
  </sheetViews>
  <sheetFormatPr defaultColWidth="9.109375" defaultRowHeight="14.4" x14ac:dyDescent="0.3"/>
  <cols>
    <col min="1" max="1" width="9.109375" style="38"/>
    <col min="2" max="2" width="17.88671875" style="38" customWidth="1"/>
    <col min="3" max="8" width="9.109375" style="38"/>
    <col min="9" max="9" width="13.5546875" style="38" customWidth="1"/>
    <col min="10" max="16" width="9.109375" style="38"/>
    <col min="17" max="17" width="5.6640625" style="38" customWidth="1"/>
    <col min="18" max="18" width="9.109375" style="38"/>
    <col min="19" max="19" width="5.6640625" style="38" customWidth="1"/>
    <col min="20" max="16384" width="9.109375" style="38"/>
  </cols>
  <sheetData>
    <row r="1" spans="1:27" x14ac:dyDescent="0.3">
      <c r="A1" s="37"/>
      <c r="B1" s="37" t="s">
        <v>5</v>
      </c>
      <c r="C1" s="37" t="s">
        <v>2</v>
      </c>
      <c r="D1" s="37" t="s">
        <v>8</v>
      </c>
      <c r="E1" s="37" t="s">
        <v>6</v>
      </c>
      <c r="F1" s="37" t="s">
        <v>10</v>
      </c>
      <c r="G1" s="37" t="s">
        <v>25</v>
      </c>
      <c r="H1" s="37" t="s">
        <v>11</v>
      </c>
      <c r="I1" s="37" t="s">
        <v>13</v>
      </c>
      <c r="J1" s="37" t="s">
        <v>12</v>
      </c>
      <c r="K1" s="37" t="s">
        <v>14</v>
      </c>
      <c r="L1" s="37" t="s">
        <v>15</v>
      </c>
      <c r="M1" s="37" t="s">
        <v>40</v>
      </c>
      <c r="N1" s="37" t="s">
        <v>60</v>
      </c>
      <c r="O1" s="37"/>
      <c r="P1" s="37"/>
      <c r="Q1" s="37" t="s">
        <v>36</v>
      </c>
      <c r="R1" s="37" t="s">
        <v>31</v>
      </c>
      <c r="S1" s="37" t="s">
        <v>37</v>
      </c>
      <c r="T1" s="37" t="s">
        <v>32</v>
      </c>
      <c r="U1" s="37" t="s">
        <v>39</v>
      </c>
      <c r="V1" s="37" t="s">
        <v>33</v>
      </c>
      <c r="W1" s="37" t="s">
        <v>34</v>
      </c>
      <c r="X1" s="37" t="s">
        <v>35</v>
      </c>
      <c r="Y1" s="37"/>
      <c r="Z1" s="37"/>
    </row>
    <row r="2" spans="1:27" x14ac:dyDescent="0.3">
      <c r="A2" s="37"/>
      <c r="B2" s="37" t="s">
        <v>179</v>
      </c>
      <c r="C2" s="37">
        <v>4609</v>
      </c>
      <c r="D2" s="37" t="s">
        <v>9</v>
      </c>
      <c r="E2" s="37"/>
      <c r="F2" s="37"/>
      <c r="G2" s="37"/>
      <c r="H2" s="37"/>
      <c r="I2" s="37"/>
      <c r="J2" s="37"/>
      <c r="K2" s="37">
        <v>60</v>
      </c>
      <c r="L2" s="37"/>
      <c r="M2" s="37">
        <v>4949</v>
      </c>
      <c r="N2" s="37" t="s">
        <v>61</v>
      </c>
      <c r="O2" s="37"/>
      <c r="P2" s="37" t="s">
        <v>27</v>
      </c>
      <c r="Q2" s="37">
        <v>234</v>
      </c>
      <c r="R2" s="37">
        <f>Q2*7</f>
        <v>1638</v>
      </c>
      <c r="S2" s="37">
        <v>289</v>
      </c>
      <c r="T2" s="37">
        <f>S2*8</f>
        <v>2312</v>
      </c>
      <c r="U2" s="37">
        <f>R2+T2</f>
        <v>3950</v>
      </c>
      <c r="V2" s="37">
        <f>500+X2</f>
        <v>658</v>
      </c>
      <c r="W2" s="37">
        <f>750+500+X2</f>
        <v>1408</v>
      </c>
      <c r="X2" s="37">
        <f>(R2+T2)*0.04</f>
        <v>158</v>
      </c>
      <c r="Y2" s="37"/>
      <c r="Z2" s="37">
        <f>U2+V2</f>
        <v>4608</v>
      </c>
      <c r="AA2" s="38">
        <f>U2+W2</f>
        <v>5358</v>
      </c>
    </row>
    <row r="3" spans="1:27" x14ac:dyDescent="0.3">
      <c r="A3" s="37"/>
      <c r="B3" s="37" t="s">
        <v>4</v>
      </c>
      <c r="C3" s="37">
        <v>500</v>
      </c>
      <c r="D3" s="37"/>
      <c r="E3" s="37" t="s">
        <v>24</v>
      </c>
      <c r="F3" s="37" t="s">
        <v>64</v>
      </c>
      <c r="G3" s="37"/>
      <c r="H3" s="37"/>
      <c r="I3" s="37"/>
      <c r="J3" s="37"/>
      <c r="K3" s="37" t="s">
        <v>24</v>
      </c>
      <c r="L3" s="37"/>
      <c r="M3" s="37">
        <v>4949</v>
      </c>
      <c r="N3" s="37" t="s">
        <v>24</v>
      </c>
      <c r="O3" s="37"/>
      <c r="P3" s="37" t="s">
        <v>38</v>
      </c>
      <c r="Q3" s="37">
        <f>Q2+566</f>
        <v>800</v>
      </c>
      <c r="R3" s="37">
        <f t="shared" ref="R3:R4" si="0">Q3*7</f>
        <v>5600</v>
      </c>
      <c r="S3" s="37">
        <f>S2+566</f>
        <v>855</v>
      </c>
      <c r="T3" s="37">
        <f t="shared" ref="T3:T4" si="1">S3*8</f>
        <v>6840</v>
      </c>
      <c r="U3" s="37">
        <f t="shared" ref="U3:U4" si="2">R3+T3</f>
        <v>12440</v>
      </c>
      <c r="V3" s="37">
        <f>500+X3</f>
        <v>997.6</v>
      </c>
      <c r="W3" s="37"/>
      <c r="X3" s="39">
        <f>(R3+T3)*0.04</f>
        <v>497.6</v>
      </c>
      <c r="Y3" s="39">
        <f>X3-X2</f>
        <v>339.6</v>
      </c>
      <c r="Z3" s="37">
        <f>U3+V3</f>
        <v>13437.6</v>
      </c>
    </row>
    <row r="4" spans="1:27" x14ac:dyDescent="0.3">
      <c r="A4" s="37"/>
      <c r="B4" s="37" t="s">
        <v>180</v>
      </c>
      <c r="C4" s="37">
        <v>5449</v>
      </c>
      <c r="D4" s="37" t="s">
        <v>9</v>
      </c>
      <c r="E4" s="37"/>
      <c r="F4" s="37"/>
      <c r="G4" s="37"/>
      <c r="H4" s="37"/>
      <c r="I4" s="37"/>
      <c r="J4" s="37"/>
      <c r="K4" s="37" t="s">
        <v>62</v>
      </c>
      <c r="L4" s="37"/>
      <c r="M4" s="37">
        <v>4949</v>
      </c>
      <c r="N4" s="37" t="s">
        <v>61</v>
      </c>
      <c r="O4" s="37"/>
      <c r="P4" s="37" t="s">
        <v>29</v>
      </c>
      <c r="Q4" s="37">
        <f>Q2+117</f>
        <v>351</v>
      </c>
      <c r="R4" s="37">
        <f t="shared" si="0"/>
        <v>2457</v>
      </c>
      <c r="S4" s="37">
        <f>S2+141</f>
        <v>430</v>
      </c>
      <c r="T4" s="37">
        <f t="shared" si="1"/>
        <v>3440</v>
      </c>
      <c r="U4" s="37">
        <f t="shared" si="2"/>
        <v>5897</v>
      </c>
      <c r="V4" s="37">
        <f>500+X4</f>
        <v>735.88</v>
      </c>
      <c r="W4" s="37"/>
      <c r="X4" s="39">
        <f>(R4+T4)*0.04</f>
        <v>235.88</v>
      </c>
      <c r="Y4" s="39">
        <f>X4-X2</f>
        <v>77.88</v>
      </c>
      <c r="Z4" s="37">
        <f>U4+V4</f>
        <v>6632.88</v>
      </c>
    </row>
    <row r="5" spans="1:27" x14ac:dyDescent="0.3">
      <c r="A5" s="37"/>
      <c r="B5" s="37" t="s">
        <v>181</v>
      </c>
      <c r="C5" s="37">
        <v>500</v>
      </c>
      <c r="D5" s="37" t="s">
        <v>9</v>
      </c>
      <c r="E5" s="37"/>
      <c r="F5" s="37"/>
      <c r="G5" s="37"/>
      <c r="H5" s="37"/>
      <c r="I5" s="37"/>
      <c r="J5" s="37"/>
      <c r="K5" s="37" t="s">
        <v>62</v>
      </c>
      <c r="L5" s="37"/>
      <c r="M5" s="37">
        <v>4949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7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7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7" x14ac:dyDescent="0.3">
      <c r="A8" s="37"/>
      <c r="B8" s="37" t="s">
        <v>1</v>
      </c>
      <c r="C8" s="37"/>
      <c r="D8" s="37"/>
      <c r="E8" s="37"/>
      <c r="F8" s="37"/>
      <c r="G8" s="37"/>
      <c r="H8" s="37"/>
      <c r="I8" s="37"/>
      <c r="J8" s="37" t="s">
        <v>57</v>
      </c>
      <c r="K8" s="37" t="s">
        <v>58</v>
      </c>
      <c r="L8" s="37" t="s">
        <v>56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7" x14ac:dyDescent="0.3">
      <c r="A9" s="37"/>
      <c r="B9" s="37" t="s">
        <v>27</v>
      </c>
      <c r="C9" s="37" t="s">
        <v>9</v>
      </c>
      <c r="D9" s="37">
        <v>4949</v>
      </c>
      <c r="E9" s="37"/>
      <c r="F9" s="37"/>
      <c r="G9" s="37"/>
      <c r="H9" s="37"/>
      <c r="I9" s="37" t="s">
        <v>42</v>
      </c>
      <c r="J9" s="37">
        <v>5</v>
      </c>
      <c r="K9" s="37">
        <v>1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7" x14ac:dyDescent="0.3">
      <c r="A10" s="37"/>
      <c r="B10" s="37" t="s">
        <v>28</v>
      </c>
      <c r="C10" s="37">
        <f>(566*15)+Y3</f>
        <v>8829.6</v>
      </c>
      <c r="D10" s="37">
        <v>13784</v>
      </c>
      <c r="E10" s="37"/>
      <c r="F10" s="37"/>
      <c r="G10" s="37"/>
      <c r="H10" s="37"/>
      <c r="I10" s="37" t="s">
        <v>43</v>
      </c>
      <c r="J10" s="37">
        <v>5</v>
      </c>
      <c r="K10" s="37">
        <v>1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7" x14ac:dyDescent="0.3">
      <c r="A11" s="37"/>
      <c r="B11" s="37" t="s">
        <v>29</v>
      </c>
      <c r="C11" s="37">
        <f>((117*7)+(141*8))+Y4</f>
        <v>2024.88</v>
      </c>
      <c r="D11" s="37">
        <v>6896</v>
      </c>
      <c r="E11" s="37"/>
      <c r="F11" s="37"/>
      <c r="G11" s="37"/>
      <c r="H11" s="37"/>
      <c r="I11" s="37" t="s">
        <v>44</v>
      </c>
      <c r="J11" s="37">
        <v>10</v>
      </c>
      <c r="K11" s="37">
        <v>2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7" x14ac:dyDescent="0.3">
      <c r="A12" s="37"/>
      <c r="B12" s="37"/>
      <c r="C12" s="37"/>
      <c r="D12" s="37"/>
      <c r="E12" s="37"/>
      <c r="F12" s="37"/>
      <c r="G12" s="37"/>
      <c r="H12" s="37"/>
      <c r="I12" s="37" t="s">
        <v>45</v>
      </c>
      <c r="J12" s="37">
        <v>10</v>
      </c>
      <c r="K12" s="37">
        <v>2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7" x14ac:dyDescent="0.3">
      <c r="A13" s="37"/>
      <c r="B13" s="37"/>
      <c r="C13" s="37"/>
      <c r="D13" s="37"/>
      <c r="E13" s="37"/>
      <c r="F13" s="37"/>
      <c r="G13" s="37"/>
      <c r="H13" s="37"/>
      <c r="I13" s="37" t="s">
        <v>46</v>
      </c>
      <c r="J13" s="37">
        <v>1</v>
      </c>
      <c r="K13" s="37"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7" x14ac:dyDescent="0.3">
      <c r="A14" s="37"/>
      <c r="B14" s="37"/>
      <c r="C14" s="37"/>
      <c r="D14" s="37"/>
      <c r="E14" s="37"/>
      <c r="F14" s="37"/>
      <c r="G14" s="37"/>
      <c r="H14" s="37"/>
      <c r="I14" s="37" t="s">
        <v>47</v>
      </c>
      <c r="J14" s="37">
        <v>2</v>
      </c>
      <c r="K14" s="37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7" x14ac:dyDescent="0.3">
      <c r="A15" s="37"/>
      <c r="B15" s="37" t="s">
        <v>51</v>
      </c>
      <c r="C15" s="37"/>
      <c r="D15" s="37"/>
      <c r="E15" s="37"/>
      <c r="F15" s="37"/>
      <c r="G15" s="37"/>
      <c r="H15" s="37"/>
      <c r="I15" s="37" t="s">
        <v>48</v>
      </c>
      <c r="J15" s="37">
        <v>3</v>
      </c>
      <c r="K15" s="37">
        <v>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7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3">
      <c r="A17" s="37"/>
      <c r="B17" s="37" t="s">
        <v>52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3">
      <c r="A18" s="37"/>
      <c r="B18" s="37" t="s">
        <v>53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3">
      <c r="A19" s="37"/>
      <c r="B19" s="37" t="s">
        <v>68</v>
      </c>
      <c r="C19" s="37" t="s">
        <v>69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</sheetData>
  <sheetProtection algorithmName="SHA-512" hashValue="21tGQfMgo6g8/j1LqYDMlKK2rqkIsD3KrFdsAMRGU21W4smx6opXLaN9+6BxXn8MuPwuxte+VzRF+R9oXR/bag==" saltValue="CBkdmAj4F/4IVr/s1JpvfA==" spinCount="100000" sheet="1" objects="1" scenarios="1" selectLockedCells="1" selectUnlockedCells="1"/>
  <customSheetViews>
    <customSheetView guid="{6840547F-AFCF-4FC0-8990-CE6E2E0107D1}">
      <selection activeCell="F27" sqref="F27"/>
    </customSheetView>
  </customSheetView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5"/>
  <sheetViews>
    <sheetView workbookViewId="0">
      <selection activeCell="E4" sqref="E4"/>
    </sheetView>
  </sheetViews>
  <sheetFormatPr defaultRowHeight="14.4" x14ac:dyDescent="0.3"/>
  <cols>
    <col min="1" max="1" width="20" style="31" bestFit="1" customWidth="1"/>
    <col min="2" max="2" width="12" style="31" bestFit="1" customWidth="1"/>
    <col min="3" max="3" width="11.77734375" style="31" bestFit="1" customWidth="1"/>
    <col min="4" max="16384" width="8.88671875" style="31"/>
  </cols>
  <sheetData>
    <row r="1" spans="1:3" x14ac:dyDescent="0.3">
      <c r="A1" s="31" t="s">
        <v>68</v>
      </c>
    </row>
    <row r="3" spans="1:3" x14ac:dyDescent="0.3">
      <c r="A3" s="32" t="s">
        <v>138</v>
      </c>
    </row>
    <row r="4" spans="1:3" x14ac:dyDescent="0.3">
      <c r="A4" s="32" t="s">
        <v>139</v>
      </c>
    </row>
    <row r="5" spans="1:3" x14ac:dyDescent="0.3">
      <c r="A5" s="32" t="s">
        <v>140</v>
      </c>
    </row>
    <row r="6" spans="1:3" x14ac:dyDescent="0.3">
      <c r="A6" s="32" t="s">
        <v>141</v>
      </c>
    </row>
    <row r="7" spans="1:3" x14ac:dyDescent="0.3">
      <c r="A7" s="32" t="s">
        <v>142</v>
      </c>
    </row>
    <row r="8" spans="1:3" x14ac:dyDescent="0.3">
      <c r="A8" s="32" t="s">
        <v>143</v>
      </c>
    </row>
    <row r="9" spans="1:3" x14ac:dyDescent="0.3">
      <c r="A9" s="32" t="s">
        <v>144</v>
      </c>
    </row>
    <row r="10" spans="1:3" x14ac:dyDescent="0.3">
      <c r="A10" s="32" t="s">
        <v>145</v>
      </c>
    </row>
    <row r="11" spans="1:3" x14ac:dyDescent="0.3">
      <c r="A11" s="32" t="s">
        <v>139</v>
      </c>
    </row>
    <row r="12" spans="1:3" x14ac:dyDescent="0.3">
      <c r="A12" s="32" t="s">
        <v>70</v>
      </c>
    </row>
    <row r="13" spans="1:3" x14ac:dyDescent="0.3">
      <c r="A13" s="32" t="s">
        <v>163</v>
      </c>
    </row>
    <row r="14" spans="1:3" x14ac:dyDescent="0.3">
      <c r="A14" s="32" t="s">
        <v>164</v>
      </c>
    </row>
    <row r="15" spans="1:3" x14ac:dyDescent="0.3">
      <c r="A15" s="32" t="s">
        <v>166</v>
      </c>
    </row>
    <row r="16" spans="1:3" x14ac:dyDescent="0.3">
      <c r="A16" s="32" t="s">
        <v>71</v>
      </c>
      <c r="B16" s="32" t="s">
        <v>72</v>
      </c>
      <c r="C16" s="32" t="s">
        <v>73</v>
      </c>
    </row>
    <row r="17" spans="1:7" x14ac:dyDescent="0.3">
      <c r="A17" s="32" t="s">
        <v>74</v>
      </c>
      <c r="B17" s="32">
        <v>0.84362999999999999</v>
      </c>
      <c r="C17" s="32">
        <v>1.185354</v>
      </c>
    </row>
    <row r="18" spans="1:7" x14ac:dyDescent="0.3">
      <c r="A18" s="32" t="s">
        <v>75</v>
      </c>
      <c r="B18" s="32">
        <v>0.723271</v>
      </c>
      <c r="C18" s="32">
        <v>1.3826069999999999</v>
      </c>
    </row>
    <row r="19" spans="1:7" x14ac:dyDescent="0.3">
      <c r="A19" s="32" t="s">
        <v>76</v>
      </c>
      <c r="B19" s="32">
        <v>74.372264999999999</v>
      </c>
      <c r="C19" s="32">
        <v>1.3446E-2</v>
      </c>
    </row>
    <row r="20" spans="1:7" x14ac:dyDescent="0.3">
      <c r="A20" s="32" t="s">
        <v>77</v>
      </c>
      <c r="B20" s="32">
        <v>1.334581</v>
      </c>
      <c r="C20" s="32">
        <v>0.74929900000000005</v>
      </c>
    </row>
    <row r="21" spans="1:7" x14ac:dyDescent="0.3">
      <c r="A21" s="32" t="s">
        <v>78</v>
      </c>
      <c r="B21" s="32">
        <v>1.2396419999999999</v>
      </c>
      <c r="C21" s="32">
        <v>0.80668499999999999</v>
      </c>
    </row>
    <row r="22" spans="1:7" x14ac:dyDescent="0.3">
      <c r="A22" s="32" t="s">
        <v>79</v>
      </c>
      <c r="B22" s="32">
        <v>1.3451679999999999</v>
      </c>
      <c r="C22" s="32">
        <v>0.74340200000000001</v>
      </c>
    </row>
    <row r="23" spans="1:7" x14ac:dyDescent="0.3">
      <c r="A23" s="32" t="s">
        <v>80</v>
      </c>
      <c r="B23" s="32">
        <v>0.92555100000000001</v>
      </c>
      <c r="C23" s="32">
        <v>1.0804370000000001</v>
      </c>
    </row>
    <row r="24" spans="1:7" x14ac:dyDescent="0.3">
      <c r="A24" s="32" t="s">
        <v>81</v>
      </c>
      <c r="B24" s="32">
        <v>4.1519709999999996</v>
      </c>
      <c r="C24" s="32">
        <v>0.24084900000000001</v>
      </c>
    </row>
    <row r="25" spans="1:7" x14ac:dyDescent="0.3">
      <c r="A25" s="32" t="s">
        <v>82</v>
      </c>
      <c r="B25" s="32">
        <v>111.095765</v>
      </c>
      <c r="C25" s="32">
        <v>9.0010000000000003E-3</v>
      </c>
    </row>
    <row r="26" spans="1:7" x14ac:dyDescent="0.3">
      <c r="A26" s="32" t="s">
        <v>83</v>
      </c>
      <c r="B26" s="32">
        <v>6.4570100000000004</v>
      </c>
      <c r="C26" s="32">
        <v>0.15487000000000001</v>
      </c>
    </row>
    <row r="27" spans="1:7" x14ac:dyDescent="0.3">
      <c r="A27" s="32" t="s">
        <v>167</v>
      </c>
      <c r="B27" s="32"/>
      <c r="C27" s="32"/>
    </row>
    <row r="28" spans="1:7" x14ac:dyDescent="0.3">
      <c r="A28" s="31" t="s">
        <v>71</v>
      </c>
      <c r="B28" s="31" t="s">
        <v>72</v>
      </c>
      <c r="C28" s="31" t="s">
        <v>73</v>
      </c>
    </row>
    <row r="29" spans="1:7" x14ac:dyDescent="0.3">
      <c r="A29" s="31" t="s">
        <v>84</v>
      </c>
      <c r="B29" s="31">
        <v>95.700614999999999</v>
      </c>
      <c r="C29" s="31">
        <v>1.0449E-2</v>
      </c>
    </row>
    <row r="30" spans="1:7" x14ac:dyDescent="0.3">
      <c r="A30" s="31" t="s">
        <v>77</v>
      </c>
      <c r="B30" s="31">
        <v>1.334581</v>
      </c>
      <c r="C30" s="31">
        <v>0.74929900000000005</v>
      </c>
      <c r="G30" s="31" t="str">
        <f>A43</f>
        <v>Euro</v>
      </c>
    </row>
    <row r="31" spans="1:7" x14ac:dyDescent="0.3">
      <c r="A31" s="31" t="s">
        <v>85</v>
      </c>
      <c r="B31" s="31">
        <v>0.376</v>
      </c>
      <c r="C31" s="31">
        <v>2.6595740000000001</v>
      </c>
      <c r="G31" s="31" t="str">
        <f>A80</f>
        <v>British Pound</v>
      </c>
    </row>
    <row r="32" spans="1:7" x14ac:dyDescent="0.3">
      <c r="A32" s="31" t="s">
        <v>86</v>
      </c>
      <c r="B32" s="31">
        <v>10.831037999999999</v>
      </c>
      <c r="C32" s="31">
        <v>9.2327000000000006E-2</v>
      </c>
      <c r="G32" s="31" t="str">
        <f>A30</f>
        <v>Australian Dollar</v>
      </c>
    </row>
    <row r="33" spans="1:7" x14ac:dyDescent="0.3">
      <c r="A33" s="31" t="s">
        <v>87</v>
      </c>
      <c r="B33" s="31">
        <v>4.9711540000000003</v>
      </c>
      <c r="C33" s="31">
        <v>0.20116100000000001</v>
      </c>
      <c r="G33" s="31" t="str">
        <f>A36</f>
        <v>Canadian Dollar</v>
      </c>
    </row>
    <row r="34" spans="1:7" x14ac:dyDescent="0.3">
      <c r="A34" s="31" t="s">
        <v>88</v>
      </c>
      <c r="B34" s="31">
        <v>1.3451679999999999</v>
      </c>
      <c r="C34" s="31">
        <v>0.74340200000000001</v>
      </c>
      <c r="G34" s="31" t="str">
        <f>A51</f>
        <v>Japanese Yen</v>
      </c>
    </row>
    <row r="35" spans="1:7" x14ac:dyDescent="0.3">
      <c r="A35" s="31" t="s">
        <v>89</v>
      </c>
      <c r="B35" s="31">
        <v>1.649996</v>
      </c>
      <c r="C35" s="31">
        <v>0.60606199999999999</v>
      </c>
      <c r="G35" s="31" t="str">
        <f>A61</f>
        <v>Norwegian Krone</v>
      </c>
    </row>
    <row r="36" spans="1:7" x14ac:dyDescent="0.3">
      <c r="A36" s="31" t="s">
        <v>78</v>
      </c>
      <c r="B36" s="31">
        <v>1.2396419999999999</v>
      </c>
      <c r="C36" s="31">
        <v>0.80668499999999999</v>
      </c>
      <c r="G36" s="31" t="str">
        <f>A73</f>
        <v>Swedish Krona</v>
      </c>
    </row>
    <row r="37" spans="1:7" x14ac:dyDescent="0.3">
      <c r="A37" s="31" t="s">
        <v>90</v>
      </c>
      <c r="B37" s="31">
        <v>732.27112699999998</v>
      </c>
      <c r="C37" s="31">
        <v>1.366E-3</v>
      </c>
      <c r="G37" s="31" t="str">
        <f>A42</f>
        <v>Danish Krone</v>
      </c>
    </row>
    <row r="38" spans="1:7" x14ac:dyDescent="0.3">
      <c r="A38" s="31" t="s">
        <v>83</v>
      </c>
      <c r="B38" s="31">
        <v>6.4570100000000004</v>
      </c>
      <c r="C38" s="31">
        <v>0.15487000000000001</v>
      </c>
      <c r="G38" s="31" t="str">
        <f>A46</f>
        <v>Icelandic Krona</v>
      </c>
    </row>
    <row r="39" spans="1:7" x14ac:dyDescent="0.3">
      <c r="A39" s="31" t="s">
        <v>91</v>
      </c>
      <c r="B39" s="31">
        <v>3749.687109</v>
      </c>
      <c r="C39" s="31">
        <v>2.6699999999999998E-4</v>
      </c>
      <c r="G39" s="31" t="str">
        <f>A53</f>
        <v>South Korean Won</v>
      </c>
    </row>
    <row r="40" spans="1:7" x14ac:dyDescent="0.3">
      <c r="A40" s="31" t="s">
        <v>92</v>
      </c>
      <c r="B40" s="31">
        <v>6.3210800000000003</v>
      </c>
      <c r="C40" s="31">
        <v>0.15820100000000001</v>
      </c>
    </row>
    <row r="41" spans="1:7" x14ac:dyDescent="0.3">
      <c r="A41" s="31" t="s">
        <v>93</v>
      </c>
      <c r="B41" s="31">
        <v>21.512999000000001</v>
      </c>
      <c r="C41" s="31">
        <v>4.6483999999999998E-2</v>
      </c>
    </row>
    <row r="42" spans="1:7" x14ac:dyDescent="0.3">
      <c r="A42" s="31" t="s">
        <v>94</v>
      </c>
      <c r="B42" s="31">
        <v>6.2733499999999998</v>
      </c>
      <c r="C42" s="31">
        <v>0.15940399999999999</v>
      </c>
    </row>
    <row r="43" spans="1:7" x14ac:dyDescent="0.3">
      <c r="A43" s="31" t="s">
        <v>74</v>
      </c>
      <c r="B43" s="31">
        <v>0.84362999999999999</v>
      </c>
      <c r="C43" s="31">
        <v>1.185354</v>
      </c>
    </row>
    <row r="44" spans="1:7" x14ac:dyDescent="0.3">
      <c r="A44" s="31" t="s">
        <v>95</v>
      </c>
      <c r="B44" s="31">
        <v>7.7644469999999997</v>
      </c>
      <c r="C44" s="31">
        <v>0.12879199999999999</v>
      </c>
    </row>
    <row r="45" spans="1:7" x14ac:dyDescent="0.3">
      <c r="A45" s="31" t="s">
        <v>96</v>
      </c>
      <c r="B45" s="31">
        <v>296.485231</v>
      </c>
      <c r="C45" s="31">
        <v>3.3730000000000001E-3</v>
      </c>
    </row>
    <row r="46" spans="1:7" x14ac:dyDescent="0.3">
      <c r="A46" s="31" t="s">
        <v>97</v>
      </c>
      <c r="B46" s="31">
        <v>123.753033</v>
      </c>
      <c r="C46" s="31">
        <v>8.0809999999999996E-3</v>
      </c>
    </row>
    <row r="47" spans="1:7" x14ac:dyDescent="0.3">
      <c r="A47" s="31" t="s">
        <v>76</v>
      </c>
      <c r="B47" s="31">
        <v>74.372264999999999</v>
      </c>
      <c r="C47" s="31">
        <v>1.3446E-2</v>
      </c>
    </row>
    <row r="48" spans="1:7" x14ac:dyDescent="0.3">
      <c r="A48" s="31" t="s">
        <v>98</v>
      </c>
      <c r="B48" s="31">
        <v>14529.757839</v>
      </c>
      <c r="C48" s="31">
        <v>6.8999999999999997E-5</v>
      </c>
    </row>
    <row r="49" spans="1:3" x14ac:dyDescent="0.3">
      <c r="A49" s="31" t="s">
        <v>99</v>
      </c>
      <c r="B49" s="31">
        <v>42024.526021999998</v>
      </c>
      <c r="C49" s="31">
        <v>2.4000000000000001E-5</v>
      </c>
    </row>
    <row r="50" spans="1:3" x14ac:dyDescent="0.3">
      <c r="A50" s="31" t="s">
        <v>100</v>
      </c>
      <c r="B50" s="31">
        <v>3.2596509999999999</v>
      </c>
      <c r="C50" s="31">
        <v>0.30678100000000003</v>
      </c>
    </row>
    <row r="51" spans="1:3" x14ac:dyDescent="0.3">
      <c r="A51" s="31" t="s">
        <v>82</v>
      </c>
      <c r="B51" s="31">
        <v>111.095765</v>
      </c>
      <c r="C51" s="31">
        <v>9.0010000000000003E-3</v>
      </c>
    </row>
    <row r="52" spans="1:3" x14ac:dyDescent="0.3">
      <c r="A52" s="31" t="s">
        <v>101</v>
      </c>
      <c r="B52" s="31">
        <v>427.23359599999998</v>
      </c>
      <c r="C52" s="31">
        <v>2.3410000000000002E-3</v>
      </c>
    </row>
    <row r="53" spans="1:3" x14ac:dyDescent="0.3">
      <c r="A53" s="31" t="s">
        <v>102</v>
      </c>
      <c r="B53" s="31">
        <v>1130.1448909999999</v>
      </c>
      <c r="C53" s="31">
        <v>8.8500000000000004E-4</v>
      </c>
    </row>
    <row r="54" spans="1:3" x14ac:dyDescent="0.3">
      <c r="A54" s="31" t="s">
        <v>103</v>
      </c>
      <c r="B54" s="31">
        <v>0.30088399999999998</v>
      </c>
      <c r="C54" s="31">
        <v>3.3235420000000002</v>
      </c>
    </row>
    <row r="55" spans="1:3" x14ac:dyDescent="0.3">
      <c r="A55" s="31" t="s">
        <v>104</v>
      </c>
      <c r="B55" s="31">
        <v>4.50563</v>
      </c>
      <c r="C55" s="31">
        <v>0.221945</v>
      </c>
    </row>
    <row r="56" spans="1:3" x14ac:dyDescent="0.3">
      <c r="A56" s="31" t="s">
        <v>81</v>
      </c>
      <c r="B56" s="31">
        <v>4.1519709999999996</v>
      </c>
      <c r="C56" s="31">
        <v>0.24084900000000001</v>
      </c>
    </row>
    <row r="57" spans="1:3" x14ac:dyDescent="0.3">
      <c r="A57" s="31" t="s">
        <v>105</v>
      </c>
      <c r="B57" s="31">
        <v>42.967269000000002</v>
      </c>
      <c r="C57" s="31">
        <v>2.3274E-2</v>
      </c>
    </row>
    <row r="58" spans="1:3" x14ac:dyDescent="0.3">
      <c r="A58" s="31" t="s">
        <v>106</v>
      </c>
      <c r="B58" s="31">
        <v>19.941790000000001</v>
      </c>
      <c r="C58" s="31">
        <v>5.0146000000000003E-2</v>
      </c>
    </row>
    <row r="59" spans="1:3" x14ac:dyDescent="0.3">
      <c r="A59" s="31" t="s">
        <v>107</v>
      </c>
      <c r="B59" s="31">
        <v>119.553416</v>
      </c>
      <c r="C59" s="31">
        <v>8.3639999999999999E-3</v>
      </c>
    </row>
    <row r="60" spans="1:3" x14ac:dyDescent="0.3">
      <c r="A60" s="31" t="s">
        <v>108</v>
      </c>
      <c r="B60" s="31">
        <v>1.4299090000000001</v>
      </c>
      <c r="C60" s="31">
        <v>0.69934499999999999</v>
      </c>
    </row>
    <row r="61" spans="1:3" x14ac:dyDescent="0.3">
      <c r="A61" s="31" t="s">
        <v>109</v>
      </c>
      <c r="B61" s="31">
        <v>8.610061</v>
      </c>
      <c r="C61" s="31">
        <v>0.116143</v>
      </c>
    </row>
    <row r="62" spans="1:3" x14ac:dyDescent="0.3">
      <c r="A62" s="31" t="s">
        <v>110</v>
      </c>
      <c r="B62" s="31">
        <v>0.38450000000000001</v>
      </c>
      <c r="C62" s="31">
        <v>2.6007799999999999</v>
      </c>
    </row>
    <row r="63" spans="1:3" x14ac:dyDescent="0.3">
      <c r="A63" s="31" t="s">
        <v>111</v>
      </c>
      <c r="B63" s="31">
        <v>158.052932</v>
      </c>
      <c r="C63" s="31">
        <v>6.3270000000000002E-3</v>
      </c>
    </row>
    <row r="64" spans="1:3" x14ac:dyDescent="0.3">
      <c r="A64" s="31" t="s">
        <v>112</v>
      </c>
      <c r="B64" s="31">
        <v>48.884028999999998</v>
      </c>
      <c r="C64" s="31">
        <v>2.0456999999999999E-2</v>
      </c>
    </row>
    <row r="65" spans="1:3" x14ac:dyDescent="0.3">
      <c r="A65" s="31" t="s">
        <v>113</v>
      </c>
      <c r="B65" s="31">
        <v>3.8167080000000002</v>
      </c>
      <c r="C65" s="31">
        <v>0.26200600000000002</v>
      </c>
    </row>
    <row r="66" spans="1:3" x14ac:dyDescent="0.3">
      <c r="A66" s="31" t="s">
        <v>114</v>
      </c>
      <c r="B66" s="31">
        <v>3.64</v>
      </c>
      <c r="C66" s="31">
        <v>0.274725</v>
      </c>
    </row>
    <row r="67" spans="1:3" x14ac:dyDescent="0.3">
      <c r="A67" s="31" t="s">
        <v>115</v>
      </c>
      <c r="B67" s="31">
        <v>4.1566270000000003</v>
      </c>
      <c r="C67" s="31">
        <v>0.24057999999999999</v>
      </c>
    </row>
    <row r="68" spans="1:3" x14ac:dyDescent="0.3">
      <c r="A68" s="31" t="s">
        <v>116</v>
      </c>
      <c r="B68" s="31">
        <v>73.119702000000004</v>
      </c>
      <c r="C68" s="31">
        <v>1.3676000000000001E-2</v>
      </c>
    </row>
    <row r="69" spans="1:3" x14ac:dyDescent="0.3">
      <c r="A69" s="31" t="s">
        <v>117</v>
      </c>
      <c r="B69" s="31">
        <v>3.75</v>
      </c>
      <c r="C69" s="31">
        <v>0.26666699999999999</v>
      </c>
    </row>
    <row r="70" spans="1:3" x14ac:dyDescent="0.3">
      <c r="A70" s="31" t="s">
        <v>79</v>
      </c>
      <c r="B70" s="31">
        <v>1.3451679999999999</v>
      </c>
      <c r="C70" s="31">
        <v>0.74340200000000001</v>
      </c>
    </row>
    <row r="71" spans="1:3" x14ac:dyDescent="0.3">
      <c r="A71" s="31" t="s">
        <v>118</v>
      </c>
      <c r="B71" s="31">
        <v>14.280931000000001</v>
      </c>
      <c r="C71" s="31">
        <v>7.0023000000000002E-2</v>
      </c>
    </row>
    <row r="72" spans="1:3" x14ac:dyDescent="0.3">
      <c r="A72" s="31" t="s">
        <v>119</v>
      </c>
      <c r="B72" s="31">
        <v>199.57289599999999</v>
      </c>
      <c r="C72" s="31">
        <v>5.0109999999999998E-3</v>
      </c>
    </row>
    <row r="73" spans="1:3" x14ac:dyDescent="0.3">
      <c r="A73" s="31" t="s">
        <v>120</v>
      </c>
      <c r="B73" s="31">
        <v>8.5572429999999997</v>
      </c>
      <c r="C73" s="31">
        <v>0.11686000000000001</v>
      </c>
    </row>
    <row r="74" spans="1:3" x14ac:dyDescent="0.3">
      <c r="A74" s="31" t="s">
        <v>80</v>
      </c>
      <c r="B74" s="31">
        <v>0.92555100000000001</v>
      </c>
      <c r="C74" s="31">
        <v>1.0804370000000001</v>
      </c>
    </row>
    <row r="75" spans="1:3" x14ac:dyDescent="0.3">
      <c r="A75" s="31" t="s">
        <v>121</v>
      </c>
      <c r="B75" s="31">
        <v>27.846523000000001</v>
      </c>
      <c r="C75" s="31">
        <v>3.5910999999999998E-2</v>
      </c>
    </row>
    <row r="76" spans="1:3" x14ac:dyDescent="0.3">
      <c r="A76" s="31" t="s">
        <v>122</v>
      </c>
      <c r="B76" s="31">
        <v>32.030518000000001</v>
      </c>
      <c r="C76" s="31">
        <v>3.1220000000000001E-2</v>
      </c>
    </row>
    <row r="77" spans="1:3" x14ac:dyDescent="0.3">
      <c r="A77" s="31" t="s">
        <v>123</v>
      </c>
      <c r="B77" s="31">
        <v>6.7924470000000001</v>
      </c>
      <c r="C77" s="31">
        <v>0.14722199999999999</v>
      </c>
    </row>
    <row r="78" spans="1:3" x14ac:dyDescent="0.3">
      <c r="A78" s="31" t="s">
        <v>124</v>
      </c>
      <c r="B78" s="31">
        <v>8.7128359999999994</v>
      </c>
      <c r="C78" s="31">
        <v>0.114773</v>
      </c>
    </row>
    <row r="79" spans="1:3" x14ac:dyDescent="0.3">
      <c r="A79" s="31" t="s">
        <v>125</v>
      </c>
      <c r="B79" s="31">
        <v>3.6724999999999999</v>
      </c>
      <c r="C79" s="31">
        <v>0.27229399999999998</v>
      </c>
    </row>
    <row r="80" spans="1:3" x14ac:dyDescent="0.3">
      <c r="A80" s="31" t="s">
        <v>75</v>
      </c>
      <c r="B80" s="31">
        <v>0.723271</v>
      </c>
      <c r="C80" s="31">
        <v>1.3826069999999999</v>
      </c>
    </row>
    <row r="81" spans="1:3" x14ac:dyDescent="0.3">
      <c r="A81" s="31" t="s">
        <v>126</v>
      </c>
      <c r="B81" s="31">
        <v>320781955094.82397</v>
      </c>
      <c r="C81" s="31">
        <v>0</v>
      </c>
    </row>
    <row r="82" spans="1:3" x14ac:dyDescent="0.3">
      <c r="A82" s="31" t="s">
        <v>168</v>
      </c>
    </row>
    <row r="83" spans="1:3" x14ac:dyDescent="0.3">
      <c r="A83" s="32" t="s">
        <v>146</v>
      </c>
      <c r="B83" s="32"/>
      <c r="C83" s="32"/>
    </row>
    <row r="84" spans="1:3" x14ac:dyDescent="0.3">
      <c r="A84" s="32" t="s">
        <v>147</v>
      </c>
      <c r="B84" s="32"/>
      <c r="C84" s="32"/>
    </row>
    <row r="85" spans="1:3" x14ac:dyDescent="0.3">
      <c r="A85" s="32" t="s">
        <v>148</v>
      </c>
      <c r="B85" s="32"/>
      <c r="C85" s="32"/>
    </row>
    <row r="86" spans="1:3" x14ac:dyDescent="0.3">
      <c r="A86" s="32" t="s">
        <v>149</v>
      </c>
      <c r="B86" s="32"/>
      <c r="C86" s="32"/>
    </row>
    <row r="87" spans="1:3" x14ac:dyDescent="0.3">
      <c r="A87" s="32" t="s">
        <v>150</v>
      </c>
      <c r="B87" s="32"/>
      <c r="C87" s="32"/>
    </row>
    <row r="88" spans="1:3" x14ac:dyDescent="0.3">
      <c r="A88" s="32" t="s">
        <v>151</v>
      </c>
      <c r="B88" s="32"/>
      <c r="C88" s="32"/>
    </row>
    <row r="89" spans="1:3" x14ac:dyDescent="0.3">
      <c r="A89" s="32" t="s">
        <v>152</v>
      </c>
      <c r="B89" s="32"/>
      <c r="C89" s="32"/>
    </row>
    <row r="90" spans="1:3" x14ac:dyDescent="0.3">
      <c r="A90" s="32" t="s">
        <v>153</v>
      </c>
      <c r="B90" s="32"/>
      <c r="C90" s="32"/>
    </row>
    <row r="91" spans="1:3" x14ac:dyDescent="0.3">
      <c r="A91" s="32" t="s">
        <v>154</v>
      </c>
      <c r="B91" s="32"/>
      <c r="C91" s="32"/>
    </row>
    <row r="92" spans="1:3" x14ac:dyDescent="0.3">
      <c r="A92" s="32" t="s">
        <v>155</v>
      </c>
      <c r="B92" s="32"/>
      <c r="C92" s="32"/>
    </row>
    <row r="93" spans="1:3" x14ac:dyDescent="0.3">
      <c r="A93" s="32" t="s">
        <v>156</v>
      </c>
      <c r="B93" s="32"/>
      <c r="C93" s="32"/>
    </row>
    <row r="94" spans="1:3" x14ac:dyDescent="0.3">
      <c r="A94" s="32"/>
      <c r="B94" s="32"/>
      <c r="C94" s="32"/>
    </row>
    <row r="95" spans="1:3" x14ac:dyDescent="0.3">
      <c r="A95" s="32" t="s">
        <v>127</v>
      </c>
      <c r="B95" s="32"/>
      <c r="C95" s="32"/>
    </row>
    <row r="96" spans="1:3" x14ac:dyDescent="0.3">
      <c r="A96" s="32"/>
      <c r="B96" s="32"/>
      <c r="C96" s="32"/>
    </row>
    <row r="97" spans="1:3" x14ac:dyDescent="0.3">
      <c r="A97" s="32" t="s">
        <v>84</v>
      </c>
      <c r="B97" s="32"/>
      <c r="C97" s="32"/>
    </row>
    <row r="98" spans="1:3" x14ac:dyDescent="0.3">
      <c r="A98" s="32" t="s">
        <v>77</v>
      </c>
      <c r="B98" s="32"/>
      <c r="C98" s="32"/>
    </row>
    <row r="99" spans="1:3" x14ac:dyDescent="0.3">
      <c r="A99" s="32" t="s">
        <v>85</v>
      </c>
      <c r="B99" s="32"/>
      <c r="C99" s="32"/>
    </row>
    <row r="100" spans="1:3" x14ac:dyDescent="0.3">
      <c r="A100" s="32" t="s">
        <v>86</v>
      </c>
      <c r="B100" s="32"/>
      <c r="C100" s="32"/>
    </row>
    <row r="101" spans="1:3" x14ac:dyDescent="0.3">
      <c r="A101" s="32" t="s">
        <v>87</v>
      </c>
      <c r="B101" s="32"/>
      <c r="C101" s="32"/>
    </row>
    <row r="102" spans="1:3" x14ac:dyDescent="0.3">
      <c r="A102" s="32" t="s">
        <v>88</v>
      </c>
      <c r="B102" s="32"/>
      <c r="C102" s="32"/>
    </row>
    <row r="103" spans="1:3" x14ac:dyDescent="0.3">
      <c r="A103" s="32" t="s">
        <v>89</v>
      </c>
      <c r="B103" s="32"/>
      <c r="C103" s="32"/>
    </row>
    <row r="104" spans="1:3" x14ac:dyDescent="0.3">
      <c r="A104" s="32" t="s">
        <v>78</v>
      </c>
      <c r="B104" s="32"/>
      <c r="C104" s="32"/>
    </row>
    <row r="105" spans="1:3" x14ac:dyDescent="0.3">
      <c r="A105" s="32" t="s">
        <v>90</v>
      </c>
      <c r="B105" s="32"/>
      <c r="C105" s="32"/>
    </row>
    <row r="106" spans="1:3" x14ac:dyDescent="0.3">
      <c r="A106" s="32" t="s">
        <v>83</v>
      </c>
      <c r="B106" s="32"/>
      <c r="C106" s="32"/>
    </row>
    <row r="107" spans="1:3" x14ac:dyDescent="0.3">
      <c r="A107" s="32" t="s">
        <v>91</v>
      </c>
      <c r="B107" s="32"/>
      <c r="C107" s="32"/>
    </row>
    <row r="108" spans="1:3" x14ac:dyDescent="0.3">
      <c r="A108" s="32" t="s">
        <v>92</v>
      </c>
      <c r="B108" s="32"/>
      <c r="C108" s="32"/>
    </row>
    <row r="109" spans="1:3" x14ac:dyDescent="0.3">
      <c r="A109" s="32" t="s">
        <v>93</v>
      </c>
      <c r="B109" s="32"/>
      <c r="C109" s="32"/>
    </row>
    <row r="110" spans="1:3" x14ac:dyDescent="0.3">
      <c r="A110" s="32" t="s">
        <v>94</v>
      </c>
      <c r="B110" s="32"/>
      <c r="C110" s="32"/>
    </row>
    <row r="111" spans="1:3" x14ac:dyDescent="0.3">
      <c r="A111" s="32" t="s">
        <v>74</v>
      </c>
      <c r="B111" s="32"/>
      <c r="C111" s="32"/>
    </row>
    <row r="112" spans="1:3" x14ac:dyDescent="0.3">
      <c r="A112" s="32" t="s">
        <v>95</v>
      </c>
      <c r="B112" s="32"/>
      <c r="C112" s="32"/>
    </row>
    <row r="113" spans="1:3" x14ac:dyDescent="0.3">
      <c r="A113" s="32" t="s">
        <v>96</v>
      </c>
      <c r="B113" s="32"/>
      <c r="C113" s="32"/>
    </row>
    <row r="114" spans="1:3" x14ac:dyDescent="0.3">
      <c r="A114" s="32" t="s">
        <v>97</v>
      </c>
      <c r="B114" s="32"/>
      <c r="C114" s="32"/>
    </row>
    <row r="115" spans="1:3" x14ac:dyDescent="0.3">
      <c r="A115" s="32" t="s">
        <v>76</v>
      </c>
      <c r="B115" s="32"/>
      <c r="C115" s="32"/>
    </row>
    <row r="116" spans="1:3" x14ac:dyDescent="0.3">
      <c r="A116" s="32" t="s">
        <v>98</v>
      </c>
      <c r="B116" s="32"/>
      <c r="C116" s="32"/>
    </row>
    <row r="117" spans="1:3" x14ac:dyDescent="0.3">
      <c r="A117" s="32" t="s">
        <v>99</v>
      </c>
      <c r="B117" s="32"/>
      <c r="C117" s="32"/>
    </row>
    <row r="118" spans="1:3" x14ac:dyDescent="0.3">
      <c r="A118" s="32" t="s">
        <v>100</v>
      </c>
      <c r="B118" s="32"/>
      <c r="C118" s="32"/>
    </row>
    <row r="119" spans="1:3" x14ac:dyDescent="0.3">
      <c r="A119" s="32" t="s">
        <v>82</v>
      </c>
      <c r="B119" s="32"/>
      <c r="C119" s="32"/>
    </row>
    <row r="120" spans="1:3" x14ac:dyDescent="0.3">
      <c r="A120" s="32" t="s">
        <v>101</v>
      </c>
      <c r="B120" s="32"/>
      <c r="C120" s="32"/>
    </row>
    <row r="121" spans="1:3" x14ac:dyDescent="0.3">
      <c r="A121" s="32" t="s">
        <v>102</v>
      </c>
      <c r="B121" s="32"/>
      <c r="C121" s="32"/>
    </row>
    <row r="122" spans="1:3" x14ac:dyDescent="0.3">
      <c r="A122" s="32" t="s">
        <v>103</v>
      </c>
      <c r="B122" s="32"/>
      <c r="C122" s="32"/>
    </row>
    <row r="123" spans="1:3" x14ac:dyDescent="0.3">
      <c r="A123" s="32" t="s">
        <v>104</v>
      </c>
      <c r="B123" s="32"/>
      <c r="C123" s="32"/>
    </row>
    <row r="124" spans="1:3" x14ac:dyDescent="0.3">
      <c r="A124" s="32" t="s">
        <v>81</v>
      </c>
      <c r="B124" s="32"/>
      <c r="C124" s="32"/>
    </row>
    <row r="125" spans="1:3" x14ac:dyDescent="0.3">
      <c r="A125" s="32" t="s">
        <v>105</v>
      </c>
      <c r="B125" s="32"/>
      <c r="C125" s="32"/>
    </row>
    <row r="126" spans="1:3" x14ac:dyDescent="0.3">
      <c r="A126" s="32" t="s">
        <v>106</v>
      </c>
      <c r="B126" s="32"/>
      <c r="C126" s="32"/>
    </row>
    <row r="127" spans="1:3" x14ac:dyDescent="0.3">
      <c r="A127" s="32" t="s">
        <v>107</v>
      </c>
      <c r="B127" s="32"/>
      <c r="C127" s="32"/>
    </row>
    <row r="128" spans="1:3" x14ac:dyDescent="0.3">
      <c r="A128" s="32" t="s">
        <v>108</v>
      </c>
      <c r="B128" s="32"/>
      <c r="C128" s="32"/>
    </row>
    <row r="129" spans="1:3" x14ac:dyDescent="0.3">
      <c r="A129" s="32" t="s">
        <v>109</v>
      </c>
      <c r="B129" s="32"/>
      <c r="C129" s="32"/>
    </row>
    <row r="130" spans="1:3" x14ac:dyDescent="0.3">
      <c r="A130" s="32" t="s">
        <v>110</v>
      </c>
      <c r="B130" s="32"/>
      <c r="C130" s="32"/>
    </row>
    <row r="131" spans="1:3" x14ac:dyDescent="0.3">
      <c r="A131" s="32" t="s">
        <v>111</v>
      </c>
      <c r="B131" s="32"/>
      <c r="C131" s="32"/>
    </row>
    <row r="132" spans="1:3" x14ac:dyDescent="0.3">
      <c r="A132" s="32" t="s">
        <v>112</v>
      </c>
      <c r="B132" s="32"/>
      <c r="C132" s="32"/>
    </row>
    <row r="133" spans="1:3" x14ac:dyDescent="0.3">
      <c r="A133" s="32" t="s">
        <v>113</v>
      </c>
      <c r="B133" s="32"/>
      <c r="C133" s="32"/>
    </row>
    <row r="134" spans="1:3" x14ac:dyDescent="0.3">
      <c r="A134" s="32" t="s">
        <v>114</v>
      </c>
      <c r="B134" s="32"/>
      <c r="C134" s="32"/>
    </row>
    <row r="135" spans="1:3" x14ac:dyDescent="0.3">
      <c r="A135" s="32" t="s">
        <v>115</v>
      </c>
      <c r="B135" s="32"/>
      <c r="C135" s="32"/>
    </row>
    <row r="136" spans="1:3" x14ac:dyDescent="0.3">
      <c r="A136" s="32" t="s">
        <v>116</v>
      </c>
      <c r="B136" s="32"/>
      <c r="C136" s="32"/>
    </row>
    <row r="137" spans="1:3" x14ac:dyDescent="0.3">
      <c r="A137" s="32" t="s">
        <v>117</v>
      </c>
      <c r="B137" s="32"/>
      <c r="C137" s="32"/>
    </row>
    <row r="138" spans="1:3" x14ac:dyDescent="0.3">
      <c r="A138" s="32" t="s">
        <v>79</v>
      </c>
      <c r="B138" s="32"/>
      <c r="C138" s="32"/>
    </row>
    <row r="139" spans="1:3" x14ac:dyDescent="0.3">
      <c r="A139" s="32" t="s">
        <v>118</v>
      </c>
      <c r="B139" s="32"/>
      <c r="C139" s="32"/>
    </row>
    <row r="140" spans="1:3" x14ac:dyDescent="0.3">
      <c r="A140" s="32" t="s">
        <v>119</v>
      </c>
      <c r="B140" s="32"/>
      <c r="C140" s="32"/>
    </row>
    <row r="141" spans="1:3" x14ac:dyDescent="0.3">
      <c r="A141" s="32" t="s">
        <v>120</v>
      </c>
      <c r="B141" s="32"/>
      <c r="C141" s="32"/>
    </row>
    <row r="142" spans="1:3" x14ac:dyDescent="0.3">
      <c r="A142" s="32" t="s">
        <v>80</v>
      </c>
      <c r="B142" s="32"/>
      <c r="C142" s="32"/>
    </row>
    <row r="143" spans="1:3" x14ac:dyDescent="0.3">
      <c r="A143" s="32" t="s">
        <v>121</v>
      </c>
      <c r="B143" s="32"/>
      <c r="C143" s="32"/>
    </row>
    <row r="144" spans="1:3" x14ac:dyDescent="0.3">
      <c r="A144" s="32" t="s">
        <v>122</v>
      </c>
      <c r="B144" s="32"/>
      <c r="C144" s="32"/>
    </row>
    <row r="145" spans="1:3" x14ac:dyDescent="0.3">
      <c r="A145" s="32" t="s">
        <v>123</v>
      </c>
      <c r="B145" s="32"/>
      <c r="C145" s="32"/>
    </row>
    <row r="146" spans="1:3" x14ac:dyDescent="0.3">
      <c r="A146" s="32" t="s">
        <v>124</v>
      </c>
      <c r="B146" s="32"/>
      <c r="C146" s="32"/>
    </row>
    <row r="147" spans="1:3" x14ac:dyDescent="0.3">
      <c r="A147" s="32" t="s">
        <v>125</v>
      </c>
      <c r="B147" s="32"/>
      <c r="C147" s="32"/>
    </row>
    <row r="148" spans="1:3" x14ac:dyDescent="0.3">
      <c r="A148" s="32" t="s">
        <v>75</v>
      </c>
      <c r="B148" s="32"/>
      <c r="C148" s="32"/>
    </row>
    <row r="149" spans="1:3" x14ac:dyDescent="0.3">
      <c r="A149" s="32" t="s">
        <v>71</v>
      </c>
      <c r="B149" s="32"/>
      <c r="C149" s="32"/>
    </row>
    <row r="150" spans="1:3" x14ac:dyDescent="0.3">
      <c r="A150" s="32" t="s">
        <v>126</v>
      </c>
      <c r="B150" s="32"/>
      <c r="C150" s="32"/>
    </row>
    <row r="151" spans="1:3" x14ac:dyDescent="0.3">
      <c r="A151" s="32" t="s">
        <v>128</v>
      </c>
      <c r="B151" s="32"/>
      <c r="C151" s="32"/>
    </row>
    <row r="152" spans="1:3" x14ac:dyDescent="0.3">
      <c r="A152" s="32" t="s">
        <v>169</v>
      </c>
      <c r="B152" s="32"/>
      <c r="C152" s="32"/>
    </row>
    <row r="153" spans="1:3" x14ac:dyDescent="0.3">
      <c r="A153" s="32" t="s">
        <v>170</v>
      </c>
      <c r="B153" s="32"/>
      <c r="C153" s="32"/>
    </row>
    <row r="154" spans="1:3" x14ac:dyDescent="0.3">
      <c r="A154" s="32" t="s">
        <v>171</v>
      </c>
      <c r="B154" s="32"/>
      <c r="C154" s="32"/>
    </row>
    <row r="155" spans="1:3" x14ac:dyDescent="0.3">
      <c r="A155" s="32" t="s">
        <v>172</v>
      </c>
      <c r="B155" s="32"/>
      <c r="C155" s="32"/>
    </row>
    <row r="156" spans="1:3" x14ac:dyDescent="0.3">
      <c r="A156" s="32" t="s">
        <v>173</v>
      </c>
      <c r="B156" s="32"/>
      <c r="C156" s="32"/>
    </row>
    <row r="157" spans="1:3" x14ac:dyDescent="0.3">
      <c r="A157" s="32" t="s">
        <v>174</v>
      </c>
      <c r="B157" s="32"/>
      <c r="C157" s="32"/>
    </row>
    <row r="158" spans="1:3" x14ac:dyDescent="0.3">
      <c r="A158" s="32" t="s">
        <v>175</v>
      </c>
      <c r="B158" s="32"/>
      <c r="C158" s="32"/>
    </row>
    <row r="159" spans="1:3" x14ac:dyDescent="0.3">
      <c r="A159" s="32" t="s">
        <v>176</v>
      </c>
      <c r="B159" s="32"/>
      <c r="C159" s="32"/>
    </row>
    <row r="160" spans="1:3" x14ac:dyDescent="0.3">
      <c r="A160" s="32" t="s">
        <v>168</v>
      </c>
      <c r="B160" s="32"/>
      <c r="C160" s="32"/>
    </row>
    <row r="161" spans="1:3" x14ac:dyDescent="0.3">
      <c r="A161" s="32" t="s">
        <v>70</v>
      </c>
      <c r="B161" s="32"/>
      <c r="C161" s="32"/>
    </row>
    <row r="162" spans="1:3" x14ac:dyDescent="0.3">
      <c r="A162" s="32" t="s">
        <v>129</v>
      </c>
      <c r="B162" s="32"/>
      <c r="C162" s="32"/>
    </row>
    <row r="163" spans="1:3" x14ac:dyDescent="0.3">
      <c r="A163" s="32"/>
      <c r="B163" s="32"/>
      <c r="C163" s="32"/>
    </row>
    <row r="164" spans="1:3" x14ac:dyDescent="0.3">
      <c r="A164" s="32" t="s">
        <v>130</v>
      </c>
      <c r="B164" s="32"/>
      <c r="C164" s="32"/>
    </row>
    <row r="165" spans="1:3" x14ac:dyDescent="0.3">
      <c r="A165" s="32"/>
      <c r="B165" s="32"/>
      <c r="C165" s="32"/>
    </row>
    <row r="166" spans="1:3" x14ac:dyDescent="0.3">
      <c r="A166" s="32" t="s">
        <v>131</v>
      </c>
      <c r="B166" s="32"/>
      <c r="C166" s="32"/>
    </row>
    <row r="167" spans="1:3" x14ac:dyDescent="0.3">
      <c r="A167" s="32" t="s">
        <v>132</v>
      </c>
      <c r="B167" s="32"/>
      <c r="C167" s="32"/>
    </row>
    <row r="168" spans="1:3" x14ac:dyDescent="0.3">
      <c r="A168" s="32" t="s">
        <v>133</v>
      </c>
      <c r="B168" s="32"/>
      <c r="C168" s="32"/>
    </row>
    <row r="169" spans="1:3" x14ac:dyDescent="0.3">
      <c r="A169" s="32" t="s">
        <v>134</v>
      </c>
      <c r="B169" s="32"/>
      <c r="C169" s="32"/>
    </row>
    <row r="170" spans="1:3" x14ac:dyDescent="0.3">
      <c r="A170" s="32" t="s">
        <v>135</v>
      </c>
      <c r="B170" s="32"/>
      <c r="C170" s="32"/>
    </row>
    <row r="171" spans="1:3" x14ac:dyDescent="0.3">
      <c r="A171" s="32" t="s">
        <v>136</v>
      </c>
      <c r="B171" s="32"/>
      <c r="C171" s="32"/>
    </row>
    <row r="172" spans="1:3" x14ac:dyDescent="0.3">
      <c r="A172" s="32" t="s">
        <v>137</v>
      </c>
      <c r="B172" s="32"/>
      <c r="C172" s="32"/>
    </row>
    <row r="173" spans="1:3" x14ac:dyDescent="0.3">
      <c r="A173" s="32" t="s">
        <v>133</v>
      </c>
      <c r="B173" s="32"/>
      <c r="C173" s="32"/>
    </row>
    <row r="174" spans="1:3" x14ac:dyDescent="0.3">
      <c r="A174" s="32" t="s">
        <v>132</v>
      </c>
      <c r="B174" s="32"/>
      <c r="C174" s="32"/>
    </row>
    <row r="175" spans="1:3" x14ac:dyDescent="0.3">
      <c r="A175" s="32" t="s">
        <v>165</v>
      </c>
    </row>
  </sheetData>
  <sheetProtection algorithmName="SHA-512" hashValue="IEez8NZR0MY2bLW06taT0sE4qorFc5bYjdwpaiD2EUCihsQ6a/B4bUc6FNfRwba358SPJgSxsGzyd7pwJ6xmgA==" saltValue="epROoN218QuEqPn6Geq1m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Sheet3!_?from_USD_amount_1</vt:lpstr>
      <vt:lpstr>Program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 Balazs</dc:creator>
  <cp:lastModifiedBy>Balazs</cp:lastModifiedBy>
  <cp:lastPrinted>2019-06-20T01:05:25Z</cp:lastPrinted>
  <dcterms:created xsi:type="dcterms:W3CDTF">2019-06-19T18:13:35Z</dcterms:created>
  <dcterms:modified xsi:type="dcterms:W3CDTF">2021-07-01T01:07:48Z</dcterms:modified>
</cp:coreProperties>
</file>